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60" windowWidth="10800" windowHeight="9120" tabRatio="943" firstSheet="2" activeTab="4"/>
  </bookViews>
  <sheets>
    <sheet name="LICENSE AGREEMENT" sheetId="49" r:id="rId1"/>
    <sheet name="Low load SFOC" sheetId="18" r:id="rId2"/>
    <sheet name="Normal SFOC" sheetId="17" r:id="rId3"/>
    <sheet name="Added resistance in waves" sheetId="50" r:id="rId4"/>
    <sheet name="Ship data" sheetId="4" r:id="rId5"/>
    <sheet name="Emissions in harbor" sheetId="19" r:id="rId6"/>
    <sheet name="Emissions at sea" sheetId="8" r:id="rId7"/>
    <sheet name="Emission factors" sheetId="9" r:id="rId8"/>
    <sheet name="PS1" sheetId="6" r:id="rId9"/>
    <sheet name="PT1" sheetId="7" r:id="rId10"/>
    <sheet name="PAS1" sheetId="14" r:id="rId11"/>
    <sheet name="PS2" sheetId="10" r:id="rId12"/>
    <sheet name="PT2" sheetId="11" r:id="rId13"/>
    <sheet name="PAS2" sheetId="15" r:id="rId14"/>
    <sheet name="PS3" sheetId="12" r:id="rId15"/>
    <sheet name="PT3" sheetId="13" r:id="rId16"/>
    <sheet name="PAS3" sheetId="16" r:id="rId17"/>
  </sheets>
  <externalReferences>
    <externalReference r:id="rId18"/>
  </externalReferences>
  <definedNames>
    <definedName name="b" localSheetId="0">'[1]Design Tool Input'!$D$6</definedName>
    <definedName name="b">#REF!</definedName>
    <definedName name="b_1" localSheetId="0">'[1]Design Tool Input'!$E$6</definedName>
    <definedName name="b_1">#REF!</definedName>
    <definedName name="b_2" localSheetId="0">'[1]Design Tool Input'!$F$6</definedName>
    <definedName name="b_2">#REF!</definedName>
    <definedName name="b_3">#REF!</definedName>
    <definedName name="b_4">#REF!</definedName>
    <definedName name="b_5">#REF!</definedName>
    <definedName name="beta" localSheetId="0">'[1]Design Tool Input'!$D$18</definedName>
    <definedName name="beta">#REF!</definedName>
    <definedName name="beta_1" localSheetId="0">'[1]Design Tool Input'!$E$18</definedName>
    <definedName name="beta_1">#REF!</definedName>
    <definedName name="beta_2" localSheetId="0">'[1]Design Tool Input'!$F$18</definedName>
    <definedName name="beta_2">#REF!</definedName>
    <definedName name="beta_3" localSheetId="0">'[1]Design Tool Input'!$J$18</definedName>
    <definedName name="beta_3">#REF!</definedName>
    <definedName name="beta_4" localSheetId="0">'[1]Design Tool Input'!$K$18</definedName>
    <definedName name="beta_4">#REF!</definedName>
    <definedName name="beta_5" localSheetId="0">'[1]Design Tool Input'!$L$18</definedName>
    <definedName name="beta_5">#REF!</definedName>
    <definedName name="BT" localSheetId="0">'[1]Design Tool Input'!$D$10</definedName>
    <definedName name="BT">#REF!</definedName>
    <definedName name="BT_1" localSheetId="0">'[1]Design Tool Input'!$E$10</definedName>
    <definedName name="BT_1">#REF!</definedName>
    <definedName name="BT_2" localSheetId="0">'[1]Design Tool Input'!$F$10</definedName>
    <definedName name="BT_2">#REF!</definedName>
    <definedName name="BT_3" localSheetId="0">'[1]Design Tool Input'!$J$10</definedName>
    <definedName name="BT_3">#REF!</definedName>
    <definedName name="BT_4" localSheetId="0">'[1]Design Tool Input'!$K$10</definedName>
    <definedName name="BT_4">#REF!</definedName>
    <definedName name="BT_5" localSheetId="0">'[1]Design Tool Input'!$L$10</definedName>
    <definedName name="BT_5">#REF!</definedName>
    <definedName name="Cb" localSheetId="0">'[1]Design Tool Input'!$D$8</definedName>
    <definedName name="Cb">#REF!</definedName>
    <definedName name="Cb_1" localSheetId="0">'[1]Design Tool Input'!$E$8</definedName>
    <definedName name="Cb_1">#REF!</definedName>
    <definedName name="Cb_2" localSheetId="0">'[1]Design Tool Input'!$F$8</definedName>
    <definedName name="Cb_2">#REF!</definedName>
    <definedName name="Cb_3">#REF!</definedName>
    <definedName name="Cb_4">#REF!</definedName>
    <definedName name="Cb_5">#REF!</definedName>
    <definedName name="_xlnm.Database" localSheetId="0">#REF!</definedName>
    <definedName name="_xlnm.Database">#REF!</definedName>
    <definedName name="Fn" localSheetId="0">'[1]Design Tool Input'!$D$19</definedName>
    <definedName name="Fn">#REF!</definedName>
    <definedName name="Fn_1" localSheetId="0">'[1]Design Tool Input'!$E$19</definedName>
    <definedName name="Fn_1">#REF!</definedName>
    <definedName name="Fn_2" localSheetId="0">'[1]Design Tool Input'!$F$19</definedName>
    <definedName name="Fn_2">#REF!</definedName>
    <definedName name="Fn_3" localSheetId="0">'[1]Design Tool Input'!$J$19</definedName>
    <definedName name="Fn_3">#REF!</definedName>
    <definedName name="Fn_4" localSheetId="0">'[1]Design Tool Input'!$K$19</definedName>
    <definedName name="Fn_4">#REF!</definedName>
    <definedName name="Fn_5" localSheetId="0">'[1]Design Tool Input'!$L$19</definedName>
    <definedName name="Fn_5">#REF!</definedName>
    <definedName name="g" localSheetId="0">'[1]Design Tool Input'!$D$29</definedName>
    <definedName name="g">#REF!</definedName>
    <definedName name="Hs" localSheetId="0">'[1]Design Tool Input'!$D$23</definedName>
    <definedName name="Hs">#REF!</definedName>
    <definedName name="Hs_1" localSheetId="0">'[1]Design Tool Input'!$E$23</definedName>
    <definedName name="Hs_1">#REF!</definedName>
    <definedName name="Hs_2" localSheetId="0">'[1]Design Tool Input'!$F$23</definedName>
    <definedName name="Hs_2">#REF!</definedName>
    <definedName name="Hs_3" localSheetId="0">'[1]Design Tool Input'!$J$23</definedName>
    <definedName name="Hs_3">#REF!</definedName>
    <definedName name="Hs_4" localSheetId="0">'[1]Design Tool Input'!$K$23</definedName>
    <definedName name="Hs_4">#REF!</definedName>
    <definedName name="Hs_5" localSheetId="0">'[1]Design Tool Input'!$L$23</definedName>
    <definedName name="Hs_5">#REF!</definedName>
    <definedName name="lpp" localSheetId="0">'[1]Design Tool Input'!$D$5</definedName>
    <definedName name="lpp">#REF!</definedName>
    <definedName name="lpp_1" localSheetId="0">'[1]Design Tool Input'!$E$5</definedName>
    <definedName name="lpp_1">#REF!</definedName>
    <definedName name="lpp_2" localSheetId="0">'[1]Design Tool Input'!$F$5</definedName>
    <definedName name="lpp_2">#REF!</definedName>
    <definedName name="lpp_3" localSheetId="0">'[1]Design Tool Input'!$J$5</definedName>
    <definedName name="lpp_3">#REF!</definedName>
    <definedName name="lpp_4" localSheetId="0">'[1]Design Tool Input'!$K$5</definedName>
    <definedName name="lpp_4">#REF!</definedName>
    <definedName name="lpp_5" localSheetId="0">'[1]Design Tool Input'!$L$5</definedName>
    <definedName name="lpp_5">#REF!</definedName>
    <definedName name="LppB" localSheetId="0">'[1]Design Tool Input'!$D$9</definedName>
    <definedName name="LppB">#REF!</definedName>
    <definedName name="LppB_1" localSheetId="0">'[1]Design Tool Input'!$E$9</definedName>
    <definedName name="LppB_1">#REF!</definedName>
    <definedName name="LppB_2" localSheetId="0">'[1]Design Tool Input'!$F$9</definedName>
    <definedName name="LppB_2">#REF!</definedName>
    <definedName name="LppB_3" localSheetId="0">'[1]Design Tool Input'!$J$9</definedName>
    <definedName name="LppB_3">#REF!</definedName>
    <definedName name="LppB_4" localSheetId="0">'[1]Design Tool Input'!$K$9</definedName>
    <definedName name="LppB_4">#REF!</definedName>
    <definedName name="LppB_5" localSheetId="0">'[1]Design Tool Input'!$L$9</definedName>
    <definedName name="LppB_5">#REF!</definedName>
    <definedName name="LppT">#REF!</definedName>
    <definedName name="LppT_1">#REF!</definedName>
    <definedName name="LppT_2">#REF!</definedName>
    <definedName name="LppT_3">#REF!</definedName>
    <definedName name="LppT_4">#REF!</definedName>
    <definedName name="LppT_5">#REF!</definedName>
    <definedName name="nabla">#REF!</definedName>
    <definedName name="nabla_1">#REF!</definedName>
    <definedName name="nabla_2">#REF!</definedName>
    <definedName name="nabla_3">#REF!</definedName>
    <definedName name="nabla_4">#REF!</definedName>
    <definedName name="nabla_5">#REF!</definedName>
    <definedName name="OLE_LINK4" localSheetId="4">'Ship data'!$G$2</definedName>
    <definedName name="rho" localSheetId="0">'[1]Design Tool Input'!$D$30</definedName>
    <definedName name="rho">#REF!</definedName>
    <definedName name="t" localSheetId="0">'[1]Design Tool Input'!$D$7</definedName>
    <definedName name="t">#REF!</definedName>
    <definedName name="t_1" localSheetId="0">'[1]Design Tool Input'!$E$7</definedName>
    <definedName name="t_1">#REF!</definedName>
    <definedName name="t_2" localSheetId="0">'[1]Design Tool Input'!$F$7</definedName>
    <definedName name="t_2">#REF!</definedName>
    <definedName name="t_3">#REF!</definedName>
    <definedName name="t_4">#REF!</definedName>
    <definedName name="t_5">#REF!</definedName>
    <definedName name="Type" localSheetId="0">'[1]Design Tool Input'!$D$25</definedName>
    <definedName name="Type">#REF!</definedName>
    <definedName name="Type_1">#REF!</definedName>
    <definedName name="Type_2">#REF!</definedName>
    <definedName name="Type_3">#REF!</definedName>
    <definedName name="Type_4">#REF!</definedName>
    <definedName name="Type_5">#REF!</definedName>
    <definedName name="Tz" localSheetId="0">'[1]Design Tool Input'!$D$24</definedName>
    <definedName name="Tz">#REF!</definedName>
    <definedName name="Tz_1" localSheetId="0">'[1]Design Tool Input'!$E$24</definedName>
    <definedName name="Tz_1">#REF!</definedName>
    <definedName name="Tz_2" localSheetId="0">'[1]Design Tool Input'!$F$24</definedName>
    <definedName name="Tz_2">#REF!</definedName>
    <definedName name="Tz_3" localSheetId="0">'[1]Design Tool Input'!$J$24</definedName>
    <definedName name="Tz_3">#REF!</definedName>
    <definedName name="Tz_4" localSheetId="0">'[1]Design Tool Input'!$K$24</definedName>
    <definedName name="Tz_4">#REF!</definedName>
    <definedName name="Tz_5" localSheetId="0">'[1]Design Tool Input'!$L$24</definedName>
    <definedName name="Tz_5">#REF!</definedName>
    <definedName name="Vs">#REF!</definedName>
    <definedName name="Vs_1">#REF!</definedName>
    <definedName name="Vs_2">#REF!</definedName>
    <definedName name="Vs_3">#REF!</definedName>
    <definedName name="Vs_4">#REF!</definedName>
    <definedName name="Vs_5">#REF!</definedName>
  </definedNames>
  <calcPr calcId="145621"/>
</workbook>
</file>

<file path=xl/calcChain.xml><?xml version="1.0" encoding="utf-8"?>
<calcChain xmlns="http://schemas.openxmlformats.org/spreadsheetml/2006/main">
  <c r="E99" i="4" l="1"/>
  <c r="D99" i="4"/>
  <c r="D3" i="4"/>
  <c r="D5" i="4"/>
  <c r="D17" i="4" s="1"/>
  <c r="D7" i="4"/>
  <c r="D8" i="4"/>
  <c r="D16" i="4"/>
  <c r="D12" i="4"/>
  <c r="D6" i="4"/>
  <c r="C4" i="10" s="1"/>
  <c r="C35" i="4"/>
  <c r="D35" i="4"/>
  <c r="J18" i="10"/>
  <c r="K21" i="10" s="1"/>
  <c r="C5" i="10"/>
  <c r="E68" i="10" s="1"/>
  <c r="K27" i="10"/>
  <c r="D41" i="4"/>
  <c r="D70" i="4"/>
  <c r="C18" i="10" s="1"/>
  <c r="K6" i="10"/>
  <c r="D50" i="4"/>
  <c r="K15" i="15" s="1"/>
  <c r="K14" i="10"/>
  <c r="D4" i="9"/>
  <c r="D31" i="9" s="1"/>
  <c r="E4" i="9"/>
  <c r="D11" i="9"/>
  <c r="D35" i="9"/>
  <c r="E35" i="9" s="1"/>
  <c r="E37" i="9" s="1"/>
  <c r="D7" i="9"/>
  <c r="D8" i="9"/>
  <c r="D36" i="9"/>
  <c r="E36" i="9" s="1"/>
  <c r="C4" i="15"/>
  <c r="C68" i="15" s="1"/>
  <c r="C5" i="15"/>
  <c r="E68" i="15" s="1"/>
  <c r="J18" i="15"/>
  <c r="K21" i="15"/>
  <c r="K22" i="15" s="1"/>
  <c r="K27" i="15"/>
  <c r="K11" i="15"/>
  <c r="K30" i="15"/>
  <c r="N16" i="15"/>
  <c r="N17" i="15" s="1"/>
  <c r="C18" i="15"/>
  <c r="E71" i="15" s="1"/>
  <c r="C66" i="15"/>
  <c r="K6" i="15"/>
  <c r="K14" i="15"/>
  <c r="D5" i="9"/>
  <c r="D79" i="4"/>
  <c r="D2" i="9" s="1"/>
  <c r="D3" i="9"/>
  <c r="D32" i="9"/>
  <c r="D9" i="8"/>
  <c r="E3" i="4"/>
  <c r="E5" i="4"/>
  <c r="E8" i="4"/>
  <c r="E35" i="4"/>
  <c r="J18" i="12"/>
  <c r="K21" i="12" s="1"/>
  <c r="K27" i="12"/>
  <c r="E41" i="4"/>
  <c r="K6" i="12"/>
  <c r="E50" i="4"/>
  <c r="K15" i="16" s="1"/>
  <c r="K14" i="12"/>
  <c r="F4" i="9"/>
  <c r="G4" i="9"/>
  <c r="F11" i="9"/>
  <c r="F35" i="9"/>
  <c r="G35" i="9" s="1"/>
  <c r="F7" i="9"/>
  <c r="F38" i="9" s="1"/>
  <c r="F8" i="9"/>
  <c r="J18" i="16"/>
  <c r="K21" i="16"/>
  <c r="K27" i="16"/>
  <c r="K11" i="16"/>
  <c r="K30" i="16"/>
  <c r="N16" i="16"/>
  <c r="N18" i="16" s="1"/>
  <c r="K6" i="16"/>
  <c r="K14" i="16"/>
  <c r="F5" i="9"/>
  <c r="E79" i="4"/>
  <c r="F2" i="9" s="1"/>
  <c r="F3" i="9"/>
  <c r="E9" i="8"/>
  <c r="C5" i="4"/>
  <c r="C17" i="4" s="1"/>
  <c r="C7" i="4"/>
  <c r="C8" i="4"/>
  <c r="C16" i="4"/>
  <c r="C12" i="4"/>
  <c r="C6" i="4"/>
  <c r="C4" i="14" s="1"/>
  <c r="C15" i="4"/>
  <c r="C93" i="4" s="1"/>
  <c r="J17" i="6"/>
  <c r="K21" i="6"/>
  <c r="C4" i="6"/>
  <c r="C66" i="6" s="1"/>
  <c r="C5" i="6"/>
  <c r="C68" i="6" s="1"/>
  <c r="K27" i="6"/>
  <c r="K11" i="6"/>
  <c r="K30" i="6" s="1"/>
  <c r="C41" i="4"/>
  <c r="N14" i="6"/>
  <c r="N16" i="6"/>
  <c r="N18" i="6" s="1"/>
  <c r="N17" i="6"/>
  <c r="C67" i="6"/>
  <c r="K6" i="6"/>
  <c r="K15" i="6"/>
  <c r="K14" i="6"/>
  <c r="B4" i="9"/>
  <c r="B21" i="9" s="1"/>
  <c r="C4" i="9"/>
  <c r="C15" i="9" s="1"/>
  <c r="C32" i="9"/>
  <c r="B11" i="9"/>
  <c r="B35" i="9" s="1"/>
  <c r="B7" i="9"/>
  <c r="B8" i="9"/>
  <c r="C8" i="9" s="1"/>
  <c r="C5" i="14"/>
  <c r="J18" i="14"/>
  <c r="K21" i="14" s="1"/>
  <c r="K27" i="14"/>
  <c r="K11" i="14"/>
  <c r="K30" i="14" s="1"/>
  <c r="N14" i="14"/>
  <c r="N16" i="14"/>
  <c r="N17" i="14"/>
  <c r="N18" i="14"/>
  <c r="K6" i="14"/>
  <c r="K15" i="14"/>
  <c r="K14" i="14"/>
  <c r="B5" i="9"/>
  <c r="B2" i="9"/>
  <c r="B3" i="9"/>
  <c r="B34" i="9"/>
  <c r="B32" i="9"/>
  <c r="B31" i="9"/>
  <c r="C9" i="8"/>
  <c r="C7" i="8"/>
  <c r="C18" i="9"/>
  <c r="D10" i="9"/>
  <c r="E10" i="9" s="1"/>
  <c r="E11" i="9"/>
  <c r="E39" i="9" s="1"/>
  <c r="F10" i="9"/>
  <c r="G21" i="9"/>
  <c r="G11" i="9"/>
  <c r="F21" i="9"/>
  <c r="F20" i="9" s="1"/>
  <c r="B10" i="9"/>
  <c r="C21" i="9"/>
  <c r="C11" i="9"/>
  <c r="C39" i="9" s="1"/>
  <c r="C20" i="9" s="1"/>
  <c r="D39" i="9"/>
  <c r="F39" i="9"/>
  <c r="B39" i="9"/>
  <c r="E7" i="9"/>
  <c r="E38" i="9"/>
  <c r="E15" i="9"/>
  <c r="D38" i="9"/>
  <c r="G7" i="9"/>
  <c r="G38" i="9" s="1"/>
  <c r="C7" i="9"/>
  <c r="C38" i="9" s="1"/>
  <c r="B38" i="9"/>
  <c r="B15" i="9"/>
  <c r="D57" i="50"/>
  <c r="C57" i="50"/>
  <c r="B57" i="50"/>
  <c r="D53" i="50"/>
  <c r="C53" i="50"/>
  <c r="B53" i="50"/>
  <c r="D49" i="50"/>
  <c r="C49" i="50"/>
  <c r="B49" i="50"/>
  <c r="D45" i="50"/>
  <c r="C45" i="50"/>
  <c r="B45" i="50"/>
  <c r="D41" i="50"/>
  <c r="C41" i="50"/>
  <c r="B41" i="50"/>
  <c r="D37" i="50"/>
  <c r="C37" i="50"/>
  <c r="B37" i="50"/>
  <c r="D29" i="50"/>
  <c r="C29" i="50"/>
  <c r="B29" i="50"/>
  <c r="D25" i="50"/>
  <c r="C25" i="50"/>
  <c r="B25" i="50"/>
  <c r="D21" i="50"/>
  <c r="C21" i="50"/>
  <c r="B21" i="50"/>
  <c r="D17" i="50"/>
  <c r="C17" i="50"/>
  <c r="B17" i="50"/>
  <c r="D13" i="50"/>
  <c r="C13" i="50"/>
  <c r="B13" i="50"/>
  <c r="D9" i="50"/>
  <c r="C9" i="50"/>
  <c r="B9" i="50"/>
  <c r="E43" i="4"/>
  <c r="E45" i="4" s="1"/>
  <c r="D43" i="4"/>
  <c r="N16" i="10" s="1"/>
  <c r="E13" i="4"/>
  <c r="E15" i="4" s="1"/>
  <c r="D13" i="4"/>
  <c r="D15" i="4" s="1"/>
  <c r="E39" i="4"/>
  <c r="K11" i="12" s="1"/>
  <c r="K30" i="12" s="1"/>
  <c r="E40" i="4"/>
  <c r="N14" i="12" s="1"/>
  <c r="D40" i="4"/>
  <c r="N14" i="15" s="1"/>
  <c r="D45" i="4"/>
  <c r="C45" i="4"/>
  <c r="C44" i="4"/>
  <c r="C52" i="4"/>
  <c r="E61" i="4"/>
  <c r="D61" i="4"/>
  <c r="C61" i="4"/>
  <c r="C74" i="4"/>
  <c r="C76" i="4" s="1"/>
  <c r="C77" i="4"/>
  <c r="D103" i="4"/>
  <c r="E103" i="4"/>
  <c r="C103" i="4"/>
  <c r="D102" i="4"/>
  <c r="E102" i="4"/>
  <c r="C102" i="4"/>
  <c r="G8" i="9"/>
  <c r="E8" i="9"/>
  <c r="C10" i="4"/>
  <c r="K65" i="12"/>
  <c r="K25" i="12"/>
  <c r="E70" i="12"/>
  <c r="C10" i="13"/>
  <c r="H27" i="13"/>
  <c r="K6" i="13"/>
  <c r="K15" i="13"/>
  <c r="K14" i="13"/>
  <c r="I27" i="13"/>
  <c r="J27" i="13"/>
  <c r="C10" i="11"/>
  <c r="H27" i="11"/>
  <c r="K6" i="11"/>
  <c r="K15" i="11"/>
  <c r="K14" i="11"/>
  <c r="I27" i="11"/>
  <c r="J27" i="11"/>
  <c r="C5" i="7"/>
  <c r="C6" i="7"/>
  <c r="H61" i="7" s="1"/>
  <c r="C10" i="7"/>
  <c r="H27" i="7"/>
  <c r="K6" i="7"/>
  <c r="K15" i="7"/>
  <c r="K14" i="7"/>
  <c r="I27" i="7"/>
  <c r="J27" i="7"/>
  <c r="L27" i="16"/>
  <c r="J27" i="16"/>
  <c r="K65" i="10"/>
  <c r="K25" i="10"/>
  <c r="E70" i="10"/>
  <c r="K65" i="6"/>
  <c r="K25" i="6"/>
  <c r="E70" i="6"/>
  <c r="K65" i="16"/>
  <c r="K25" i="16"/>
  <c r="E70" i="16"/>
  <c r="L65" i="15"/>
  <c r="L27" i="15"/>
  <c r="L25" i="15"/>
  <c r="E70" i="15"/>
  <c r="M65" i="15"/>
  <c r="M27" i="15"/>
  <c r="M25" i="15"/>
  <c r="K65" i="15"/>
  <c r="K25" i="15"/>
  <c r="H62" i="13"/>
  <c r="H25" i="13"/>
  <c r="H30" i="13"/>
  <c r="E67" i="13"/>
  <c r="I62" i="13"/>
  <c r="I25" i="13"/>
  <c r="I30" i="13"/>
  <c r="J62" i="13"/>
  <c r="J25" i="13"/>
  <c r="J30" i="13"/>
  <c r="L62" i="13"/>
  <c r="L27" i="13"/>
  <c r="L25" i="13"/>
  <c r="L30" i="13"/>
  <c r="M62" i="13"/>
  <c r="M27" i="13"/>
  <c r="M25" i="13"/>
  <c r="M30" i="13"/>
  <c r="K62" i="13"/>
  <c r="K27" i="13"/>
  <c r="K25" i="13"/>
  <c r="K30" i="13"/>
  <c r="K9" i="16"/>
  <c r="K10" i="16"/>
  <c r="N22" i="16"/>
  <c r="N76" i="16" s="1"/>
  <c r="C80" i="16"/>
  <c r="C79" i="16"/>
  <c r="C78" i="16"/>
  <c r="C77" i="16"/>
  <c r="C76" i="16"/>
  <c r="C81" i="16"/>
  <c r="C65" i="16"/>
  <c r="D65" i="16"/>
  <c r="E65" i="16"/>
  <c r="F65" i="16"/>
  <c r="G65" i="16"/>
  <c r="H65" i="16"/>
  <c r="I65" i="16"/>
  <c r="J65" i="16"/>
  <c r="L65" i="16"/>
  <c r="M65" i="16"/>
  <c r="N65" i="16"/>
  <c r="C25" i="16"/>
  <c r="D25" i="16"/>
  <c r="E25" i="16"/>
  <c r="F25" i="16"/>
  <c r="G25" i="16"/>
  <c r="H25" i="16"/>
  <c r="I25" i="16"/>
  <c r="J25" i="16"/>
  <c r="L25" i="16"/>
  <c r="M25" i="16"/>
  <c r="N25" i="16"/>
  <c r="C26" i="16"/>
  <c r="C27" i="16"/>
  <c r="D27" i="16"/>
  <c r="E27" i="16"/>
  <c r="F27" i="16"/>
  <c r="G27" i="16"/>
  <c r="H27" i="16"/>
  <c r="I27" i="16"/>
  <c r="M27" i="16"/>
  <c r="N27" i="16"/>
  <c r="C75" i="16"/>
  <c r="C54" i="16"/>
  <c r="C118" i="16"/>
  <c r="K9" i="13"/>
  <c r="K10" i="13"/>
  <c r="C77" i="13"/>
  <c r="C76" i="13"/>
  <c r="C75" i="13"/>
  <c r="C74" i="13"/>
  <c r="C73" i="13"/>
  <c r="C78" i="13"/>
  <c r="C62" i="13"/>
  <c r="N22" i="13"/>
  <c r="N72" i="13" s="1"/>
  <c r="D62" i="13"/>
  <c r="E62" i="13"/>
  <c r="F62" i="13"/>
  <c r="G62" i="13"/>
  <c r="N62" i="13"/>
  <c r="C25" i="13"/>
  <c r="D25" i="13"/>
  <c r="E25" i="13"/>
  <c r="F25" i="13"/>
  <c r="G25" i="13"/>
  <c r="N25" i="13"/>
  <c r="C26" i="13"/>
  <c r="C27" i="13"/>
  <c r="D27" i="13"/>
  <c r="E27" i="13"/>
  <c r="F27" i="13"/>
  <c r="G27" i="13"/>
  <c r="N27" i="13"/>
  <c r="C30" i="13"/>
  <c r="D30" i="13"/>
  <c r="E30" i="13"/>
  <c r="F30" i="13"/>
  <c r="G30" i="13"/>
  <c r="N30" i="13"/>
  <c r="C72" i="13"/>
  <c r="C51" i="13"/>
  <c r="C115" i="13"/>
  <c r="K9" i="12"/>
  <c r="K10" i="12"/>
  <c r="N22" i="12"/>
  <c r="C80" i="12"/>
  <c r="C88" i="12" s="1"/>
  <c r="C79" i="12"/>
  <c r="C78" i="12"/>
  <c r="C77" i="12"/>
  <c r="C76" i="12"/>
  <c r="C81" i="12"/>
  <c r="C65" i="12"/>
  <c r="D65" i="12"/>
  <c r="E65" i="12"/>
  <c r="F65" i="12"/>
  <c r="G65" i="12"/>
  <c r="H65" i="12"/>
  <c r="I65" i="12"/>
  <c r="J65" i="12"/>
  <c r="L65" i="12"/>
  <c r="M65" i="12"/>
  <c r="N65" i="12"/>
  <c r="C25" i="12"/>
  <c r="D25" i="12"/>
  <c r="E25" i="12"/>
  <c r="F25" i="12"/>
  <c r="G25" i="12"/>
  <c r="H25" i="12"/>
  <c r="I25" i="12"/>
  <c r="J25" i="12"/>
  <c r="L25" i="12"/>
  <c r="M25" i="12"/>
  <c r="N25" i="12"/>
  <c r="C26" i="12"/>
  <c r="C27" i="12"/>
  <c r="D27" i="12"/>
  <c r="E27" i="12"/>
  <c r="F27" i="12"/>
  <c r="G27" i="12"/>
  <c r="H27" i="12"/>
  <c r="I27" i="12"/>
  <c r="J27" i="12"/>
  <c r="L27" i="12"/>
  <c r="M27" i="12"/>
  <c r="N27" i="12"/>
  <c r="C75" i="12"/>
  <c r="C54" i="12"/>
  <c r="C118" i="12"/>
  <c r="K9" i="15"/>
  <c r="K10" i="15"/>
  <c r="N22" i="15"/>
  <c r="N80" i="15" s="1"/>
  <c r="C80" i="15"/>
  <c r="C79" i="15"/>
  <c r="C78" i="15"/>
  <c r="C77" i="15"/>
  <c r="C76" i="15"/>
  <c r="C81" i="15"/>
  <c r="C65" i="15"/>
  <c r="D65" i="15"/>
  <c r="E65" i="15"/>
  <c r="F65" i="15"/>
  <c r="G65" i="15"/>
  <c r="H65" i="15"/>
  <c r="I65" i="15"/>
  <c r="J65" i="15"/>
  <c r="N65" i="15"/>
  <c r="C25" i="15"/>
  <c r="D25" i="15"/>
  <c r="E25" i="15"/>
  <c r="F25" i="15"/>
  <c r="G25" i="15"/>
  <c r="H25" i="15"/>
  <c r="I25" i="15"/>
  <c r="J25" i="15"/>
  <c r="N25" i="15"/>
  <c r="C26" i="15"/>
  <c r="C27" i="15"/>
  <c r="D27" i="15"/>
  <c r="E27" i="15"/>
  <c r="F27" i="15"/>
  <c r="G27" i="15"/>
  <c r="H27" i="15"/>
  <c r="I27" i="15"/>
  <c r="J27" i="15"/>
  <c r="N27" i="15"/>
  <c r="C75" i="15"/>
  <c r="C54" i="15"/>
  <c r="C118" i="15"/>
  <c r="E67" i="11"/>
  <c r="K9" i="11"/>
  <c r="K10" i="11"/>
  <c r="H62" i="11"/>
  <c r="H25" i="11"/>
  <c r="H30" i="11"/>
  <c r="I62" i="11"/>
  <c r="I25" i="11"/>
  <c r="I30" i="11"/>
  <c r="J62" i="11"/>
  <c r="J25" i="11"/>
  <c r="J30" i="11"/>
  <c r="N22" i="11"/>
  <c r="N77" i="11"/>
  <c r="C77" i="11"/>
  <c r="C76" i="11"/>
  <c r="C75" i="11"/>
  <c r="C94" i="11" s="1"/>
  <c r="C74" i="11"/>
  <c r="C73" i="11"/>
  <c r="C78" i="11"/>
  <c r="C62" i="11"/>
  <c r="D62" i="11"/>
  <c r="E62" i="11"/>
  <c r="F62" i="11"/>
  <c r="G62" i="11"/>
  <c r="K62" i="11"/>
  <c r="L62" i="11"/>
  <c r="M62" i="11"/>
  <c r="N62" i="11"/>
  <c r="C25" i="11"/>
  <c r="D25" i="11"/>
  <c r="E25" i="11"/>
  <c r="F25" i="11"/>
  <c r="G25" i="11"/>
  <c r="K25" i="11"/>
  <c r="L25" i="11"/>
  <c r="M25" i="11"/>
  <c r="N25" i="11"/>
  <c r="C26" i="11"/>
  <c r="C27" i="11"/>
  <c r="D27" i="11"/>
  <c r="E27" i="11"/>
  <c r="F27" i="11"/>
  <c r="G27" i="11"/>
  <c r="K27" i="11"/>
  <c r="L27" i="11"/>
  <c r="M27" i="11"/>
  <c r="N27" i="11"/>
  <c r="C30" i="11"/>
  <c r="D30" i="11"/>
  <c r="E30" i="11"/>
  <c r="F30" i="11"/>
  <c r="G30" i="11"/>
  <c r="K30" i="11"/>
  <c r="L30" i="11"/>
  <c r="M30" i="11"/>
  <c r="N30" i="11"/>
  <c r="C72" i="11"/>
  <c r="C51" i="11"/>
  <c r="C115" i="11"/>
  <c r="K9" i="10"/>
  <c r="K10" i="10"/>
  <c r="N22" i="10"/>
  <c r="N78" i="10" s="1"/>
  <c r="C80" i="10"/>
  <c r="C79" i="10"/>
  <c r="C105" i="10" s="1"/>
  <c r="C78" i="10"/>
  <c r="C77" i="10"/>
  <c r="C76" i="10"/>
  <c r="C81" i="10"/>
  <c r="C65" i="10"/>
  <c r="D65" i="10"/>
  <c r="E65" i="10"/>
  <c r="F65" i="10"/>
  <c r="G65" i="10"/>
  <c r="H65" i="10"/>
  <c r="I65" i="10"/>
  <c r="J65" i="10"/>
  <c r="L65" i="10"/>
  <c r="M65" i="10"/>
  <c r="N65" i="10"/>
  <c r="C25" i="10"/>
  <c r="D25" i="10"/>
  <c r="E25" i="10"/>
  <c r="F25" i="10"/>
  <c r="G25" i="10"/>
  <c r="H25" i="10"/>
  <c r="I25" i="10"/>
  <c r="J25" i="10"/>
  <c r="L25" i="10"/>
  <c r="M25" i="10"/>
  <c r="N25" i="10"/>
  <c r="C26" i="10"/>
  <c r="C27" i="10"/>
  <c r="D27" i="10"/>
  <c r="E27" i="10"/>
  <c r="F27" i="10"/>
  <c r="G27" i="10"/>
  <c r="H27" i="10"/>
  <c r="I27" i="10"/>
  <c r="J27" i="10"/>
  <c r="L27" i="10"/>
  <c r="M27" i="10"/>
  <c r="N27" i="10"/>
  <c r="C75" i="10"/>
  <c r="C54" i="10"/>
  <c r="C118" i="10"/>
  <c r="E70" i="14"/>
  <c r="K9" i="14"/>
  <c r="K10" i="14"/>
  <c r="N22" i="14"/>
  <c r="N79" i="14" s="1"/>
  <c r="C80" i="14"/>
  <c r="C79" i="14"/>
  <c r="C84" i="14" s="1"/>
  <c r="C78" i="14"/>
  <c r="C94" i="14" s="1"/>
  <c r="C77" i="14"/>
  <c r="C76" i="14"/>
  <c r="C81" i="14"/>
  <c r="C65" i="14"/>
  <c r="D65" i="14"/>
  <c r="E65" i="14"/>
  <c r="F65" i="14"/>
  <c r="G65" i="14"/>
  <c r="H65" i="14"/>
  <c r="I65" i="14"/>
  <c r="J65" i="14"/>
  <c r="K65" i="14"/>
  <c r="L65" i="14"/>
  <c r="M65" i="14"/>
  <c r="N65" i="14"/>
  <c r="C25" i="14"/>
  <c r="D25" i="14"/>
  <c r="E25" i="14"/>
  <c r="F25" i="14"/>
  <c r="G25" i="14"/>
  <c r="H25" i="14"/>
  <c r="I25" i="14"/>
  <c r="J25" i="14"/>
  <c r="K25" i="14"/>
  <c r="L25" i="14"/>
  <c r="M25" i="14"/>
  <c r="N25" i="14"/>
  <c r="C26" i="14"/>
  <c r="C27" i="14"/>
  <c r="D27" i="14"/>
  <c r="E27" i="14"/>
  <c r="F27" i="14"/>
  <c r="G27" i="14"/>
  <c r="H27" i="14"/>
  <c r="I27" i="14"/>
  <c r="J27" i="14"/>
  <c r="L27" i="14"/>
  <c r="M27" i="14"/>
  <c r="N27" i="14"/>
  <c r="C75" i="14"/>
  <c r="C54" i="14"/>
  <c r="C118" i="14"/>
  <c r="E67" i="7"/>
  <c r="K9" i="7"/>
  <c r="K10" i="7"/>
  <c r="H62" i="7"/>
  <c r="H25" i="7"/>
  <c r="H30" i="7"/>
  <c r="I62" i="7"/>
  <c r="I25" i="7"/>
  <c r="I30" i="7"/>
  <c r="J62" i="7"/>
  <c r="J25" i="7"/>
  <c r="J30" i="7"/>
  <c r="N22" i="7"/>
  <c r="N75" i="7"/>
  <c r="C77" i="7"/>
  <c r="C94" i="7" s="1"/>
  <c r="C76" i="7"/>
  <c r="C101" i="7" s="1"/>
  <c r="C75" i="7"/>
  <c r="C74" i="7"/>
  <c r="C73" i="7"/>
  <c r="C78" i="7"/>
  <c r="C62" i="7"/>
  <c r="D62" i="7"/>
  <c r="E62" i="7"/>
  <c r="F62" i="7"/>
  <c r="G62" i="7"/>
  <c r="K62" i="7"/>
  <c r="L62" i="7"/>
  <c r="M62" i="7"/>
  <c r="N62" i="7"/>
  <c r="C25" i="7"/>
  <c r="D25" i="7"/>
  <c r="E25" i="7"/>
  <c r="F25" i="7"/>
  <c r="G25" i="7"/>
  <c r="K25" i="7"/>
  <c r="L25" i="7"/>
  <c r="M25" i="7"/>
  <c r="N25" i="7"/>
  <c r="C26" i="7"/>
  <c r="C27" i="7"/>
  <c r="D27" i="7"/>
  <c r="E27" i="7"/>
  <c r="F27" i="7"/>
  <c r="G27" i="7"/>
  <c r="K27" i="7"/>
  <c r="L27" i="7"/>
  <c r="M27" i="7"/>
  <c r="N27" i="7"/>
  <c r="C30" i="7"/>
  <c r="D30" i="7"/>
  <c r="E30" i="7"/>
  <c r="F30" i="7"/>
  <c r="G30" i="7"/>
  <c r="K30" i="7"/>
  <c r="L30" i="7"/>
  <c r="M30" i="7"/>
  <c r="N30" i="7"/>
  <c r="C72" i="7"/>
  <c r="C51" i="7"/>
  <c r="C115" i="7"/>
  <c r="K9" i="6"/>
  <c r="K10" i="6"/>
  <c r="N22" i="6"/>
  <c r="N81" i="6" s="1"/>
  <c r="C80" i="6"/>
  <c r="C79" i="6"/>
  <c r="C78" i="6"/>
  <c r="C77" i="6"/>
  <c r="C88" i="6" s="1"/>
  <c r="C76" i="6"/>
  <c r="C101" i="6" s="1"/>
  <c r="C81" i="6"/>
  <c r="C89" i="6" s="1"/>
  <c r="C65" i="6"/>
  <c r="D65" i="6"/>
  <c r="E65" i="6"/>
  <c r="F65" i="6"/>
  <c r="G65" i="6"/>
  <c r="H65" i="6"/>
  <c r="I65" i="6"/>
  <c r="J65" i="6"/>
  <c r="L65" i="6"/>
  <c r="M65" i="6"/>
  <c r="N65" i="6"/>
  <c r="C25" i="6"/>
  <c r="D25" i="6"/>
  <c r="E25" i="6"/>
  <c r="F25" i="6"/>
  <c r="G25" i="6"/>
  <c r="H25" i="6"/>
  <c r="I25" i="6"/>
  <c r="J25" i="6"/>
  <c r="L25" i="6"/>
  <c r="M25" i="6"/>
  <c r="N25" i="6"/>
  <c r="C26" i="6"/>
  <c r="C27" i="6"/>
  <c r="D27" i="6"/>
  <c r="E27" i="6"/>
  <c r="F27" i="6"/>
  <c r="G27" i="6"/>
  <c r="H27" i="6"/>
  <c r="I27" i="6"/>
  <c r="J27" i="6"/>
  <c r="L27" i="6"/>
  <c r="M27" i="6"/>
  <c r="N27" i="6"/>
  <c r="C75" i="6"/>
  <c r="C54" i="6"/>
  <c r="C118" i="6"/>
  <c r="B6" i="9"/>
  <c r="D6" i="9"/>
  <c r="F6" i="9"/>
  <c r="B9" i="9"/>
  <c r="D9" i="9"/>
  <c r="F9" i="9"/>
  <c r="C10" i="9"/>
  <c r="G10" i="9"/>
  <c r="C4" i="8"/>
  <c r="C5" i="8"/>
  <c r="D5" i="8"/>
  <c r="E5" i="8"/>
  <c r="C4" i="19"/>
  <c r="C5" i="19"/>
  <c r="D5" i="19"/>
  <c r="E5" i="19"/>
  <c r="C67" i="4"/>
  <c r="C2" i="4"/>
  <c r="E2" i="4"/>
  <c r="C96" i="4"/>
  <c r="D3" i="17"/>
  <c r="F3" i="17"/>
  <c r="D4" i="17"/>
  <c r="F4" i="17"/>
  <c r="D5" i="17"/>
  <c r="F5" i="17"/>
  <c r="D6" i="17"/>
  <c r="F6" i="17"/>
  <c r="D7" i="17"/>
  <c r="F7" i="17"/>
  <c r="D8" i="17"/>
  <c r="F8" i="17"/>
  <c r="D9" i="17"/>
  <c r="F9" i="17"/>
  <c r="D10" i="17"/>
  <c r="F10" i="17"/>
  <c r="D11" i="17"/>
  <c r="F11" i="17"/>
  <c r="D12" i="17"/>
  <c r="F12" i="17"/>
  <c r="D13" i="17"/>
  <c r="F13" i="17"/>
  <c r="D14" i="17"/>
  <c r="F14" i="17"/>
  <c r="D15" i="17"/>
  <c r="F15" i="17"/>
  <c r="D16" i="17"/>
  <c r="F16" i="17"/>
  <c r="D17" i="17"/>
  <c r="F17" i="17"/>
  <c r="D18" i="17"/>
  <c r="F18" i="17"/>
  <c r="D36" i="17"/>
  <c r="D37" i="17"/>
  <c r="D38" i="17"/>
  <c r="D39" i="17"/>
  <c r="D40" i="17"/>
  <c r="D41" i="17"/>
  <c r="D42" i="17"/>
  <c r="D43" i="17"/>
  <c r="D44" i="17"/>
  <c r="D45" i="17"/>
  <c r="D46" i="17"/>
  <c r="D47" i="17"/>
  <c r="D48" i="17"/>
  <c r="D49" i="17"/>
  <c r="D50" i="17"/>
  <c r="D51" i="17"/>
  <c r="C4" i="18"/>
  <c r="E4" i="18"/>
  <c r="G4" i="18"/>
  <c r="I4" i="18"/>
  <c r="K4" i="18"/>
  <c r="M4" i="18"/>
  <c r="C5" i="18"/>
  <c r="E5" i="18"/>
  <c r="G5" i="18"/>
  <c r="I5" i="18"/>
  <c r="K5" i="18"/>
  <c r="M5" i="18"/>
  <c r="C6" i="18"/>
  <c r="E6" i="18"/>
  <c r="G6" i="18"/>
  <c r="I6" i="18"/>
  <c r="K6" i="18"/>
  <c r="M6" i="18"/>
  <c r="C7" i="18"/>
  <c r="E7" i="18"/>
  <c r="G7" i="18"/>
  <c r="I7" i="18"/>
  <c r="K7" i="18"/>
  <c r="M7" i="18"/>
  <c r="C8" i="18"/>
  <c r="E8" i="18"/>
  <c r="G8" i="18"/>
  <c r="I8" i="18"/>
  <c r="K8" i="18"/>
  <c r="M8" i="18"/>
  <c r="C9" i="18"/>
  <c r="E9" i="18"/>
  <c r="G9" i="18"/>
  <c r="I9" i="18"/>
  <c r="K9" i="18"/>
  <c r="M9" i="18"/>
  <c r="C10" i="18"/>
  <c r="E10" i="18"/>
  <c r="G10" i="18"/>
  <c r="I10" i="18"/>
  <c r="K10" i="18"/>
  <c r="M10" i="18"/>
  <c r="C11" i="18"/>
  <c r="E11" i="18"/>
  <c r="G11" i="18"/>
  <c r="I11" i="18"/>
  <c r="K11" i="18"/>
  <c r="M11" i="18"/>
  <c r="C12" i="18"/>
  <c r="E12" i="18"/>
  <c r="G12" i="18"/>
  <c r="I12" i="18"/>
  <c r="K12" i="18"/>
  <c r="M12" i="18"/>
  <c r="C13" i="18"/>
  <c r="E13" i="18"/>
  <c r="G13" i="18"/>
  <c r="I13" i="18"/>
  <c r="K13" i="18"/>
  <c r="M13" i="18"/>
  <c r="C14" i="18"/>
  <c r="E14" i="18"/>
  <c r="G14" i="18"/>
  <c r="I14" i="18"/>
  <c r="K14" i="18"/>
  <c r="M14" i="18"/>
  <c r="C15" i="18"/>
  <c r="E15" i="18"/>
  <c r="G15" i="18"/>
  <c r="I15" i="18"/>
  <c r="K15" i="18"/>
  <c r="M15" i="18"/>
  <c r="C16" i="18"/>
  <c r="E16" i="18"/>
  <c r="G16" i="18"/>
  <c r="I16" i="18"/>
  <c r="K16" i="18"/>
  <c r="M16" i="18"/>
  <c r="C17" i="18"/>
  <c r="E17" i="18"/>
  <c r="G17" i="18"/>
  <c r="I17" i="18"/>
  <c r="K17" i="18"/>
  <c r="M17" i="18"/>
  <c r="C18" i="18"/>
  <c r="E18" i="18"/>
  <c r="G18" i="18"/>
  <c r="I18" i="18"/>
  <c r="K18" i="18"/>
  <c r="M18" i="18"/>
  <c r="C19" i="18"/>
  <c r="E19" i="18"/>
  <c r="G19" i="18"/>
  <c r="I19" i="18"/>
  <c r="K19" i="18"/>
  <c r="M19" i="18"/>
  <c r="B52" i="18"/>
  <c r="B53" i="18"/>
  <c r="B54" i="18"/>
  <c r="B55" i="18"/>
  <c r="B56" i="18"/>
  <c r="B57" i="18"/>
  <c r="B58" i="18"/>
  <c r="B59" i="18"/>
  <c r="B60" i="18"/>
  <c r="B61" i="18"/>
  <c r="B62" i="18"/>
  <c r="B63" i="18"/>
  <c r="B64" i="18"/>
  <c r="B65" i="18"/>
  <c r="B66" i="18"/>
  <c r="B67" i="18"/>
  <c r="E52" i="4"/>
  <c r="D52" i="4"/>
  <c r="D4" i="8"/>
  <c r="N79" i="15"/>
  <c r="C81" i="7"/>
  <c r="C88" i="16"/>
  <c r="N54" i="16"/>
  <c r="N72" i="11"/>
  <c r="N74" i="11"/>
  <c r="N118" i="16"/>
  <c r="C86" i="16"/>
  <c r="C86" i="10"/>
  <c r="C83" i="13"/>
  <c r="C84" i="16"/>
  <c r="C105" i="12"/>
  <c r="C88" i="15"/>
  <c r="C91" i="16"/>
  <c r="C93" i="16"/>
  <c r="N75" i="14"/>
  <c r="C84" i="12"/>
  <c r="C104" i="6"/>
  <c r="C97" i="7"/>
  <c r="C96" i="10"/>
  <c r="C102" i="16"/>
  <c r="C94" i="12"/>
  <c r="C101" i="16"/>
  <c r="N81" i="10"/>
  <c r="N75" i="15"/>
  <c r="N77" i="15"/>
  <c r="N79" i="10"/>
  <c r="C100" i="6"/>
  <c r="C96" i="6"/>
  <c r="C99" i="11"/>
  <c r="N54" i="15"/>
  <c r="C95" i="11"/>
  <c r="N81" i="15"/>
  <c r="C101" i="12"/>
  <c r="N76" i="14"/>
  <c r="N80" i="14"/>
  <c r="C104" i="10"/>
  <c r="C92" i="11"/>
  <c r="C80" i="13"/>
  <c r="N78" i="11"/>
  <c r="N8" i="7"/>
  <c r="C10" i="19"/>
  <c r="D4" i="19"/>
  <c r="D74" i="4"/>
  <c r="D75" i="4"/>
  <c r="C103" i="6"/>
  <c r="C99" i="6"/>
  <c r="C95" i="6"/>
  <c r="N78" i="6"/>
  <c r="C84" i="6"/>
  <c r="N115" i="7"/>
  <c r="C88" i="7"/>
  <c r="C82" i="7"/>
  <c r="C100" i="14"/>
  <c r="C86" i="14"/>
  <c r="N77" i="14"/>
  <c r="N96" i="14" s="1"/>
  <c r="N118" i="10"/>
  <c r="N75" i="10"/>
  <c r="N76" i="10"/>
  <c r="N80" i="10"/>
  <c r="N83" i="10" s="1"/>
  <c r="C102" i="11"/>
  <c r="N75" i="11"/>
  <c r="N118" i="15"/>
  <c r="N76" i="15"/>
  <c r="C90" i="12"/>
  <c r="C97" i="12"/>
  <c r="N115" i="13"/>
  <c r="C91" i="13"/>
  <c r="N51" i="13"/>
  <c r="N76" i="13"/>
  <c r="C98" i="16"/>
  <c r="C82" i="16"/>
  <c r="C99" i="16"/>
  <c r="C85" i="6"/>
  <c r="C102" i="6"/>
  <c r="C98" i="6"/>
  <c r="C99" i="7"/>
  <c r="C97" i="14"/>
  <c r="N54" i="14"/>
  <c r="N81" i="14"/>
  <c r="N93" i="14" s="1"/>
  <c r="N78" i="14"/>
  <c r="N26" i="10"/>
  <c r="N77" i="10"/>
  <c r="C101" i="11"/>
  <c r="C97" i="11"/>
  <c r="N76" i="11"/>
  <c r="C102" i="12"/>
  <c r="C86" i="12"/>
  <c r="C93" i="12"/>
  <c r="C87" i="13"/>
  <c r="C94" i="16"/>
  <c r="C97" i="16"/>
  <c r="C105" i="6"/>
  <c r="C86" i="6"/>
  <c r="N26" i="6"/>
  <c r="N76" i="6"/>
  <c r="C87" i="6"/>
  <c r="C102" i="7"/>
  <c r="N118" i="14"/>
  <c r="C97" i="10"/>
  <c r="N54" i="10"/>
  <c r="N115" i="11"/>
  <c r="C100" i="11"/>
  <c r="N73" i="11"/>
  <c r="N96" i="11" s="1"/>
  <c r="C98" i="12"/>
  <c r="C82" i="12"/>
  <c r="C89" i="12"/>
  <c r="C99" i="13"/>
  <c r="C105" i="16"/>
  <c r="C95" i="16"/>
  <c r="E4" i="8"/>
  <c r="E4" i="19"/>
  <c r="C7" i="19"/>
  <c r="E74" i="4"/>
  <c r="E77" i="4"/>
  <c r="G61" i="7"/>
  <c r="D2" i="4"/>
  <c r="M61" i="7"/>
  <c r="F61" i="7"/>
  <c r="L61" i="7"/>
  <c r="E61" i="7"/>
  <c r="D17" i="7"/>
  <c r="D61" i="7"/>
  <c r="N61" i="7"/>
  <c r="C93" i="6"/>
  <c r="C79" i="7"/>
  <c r="C83" i="7"/>
  <c r="C87" i="7"/>
  <c r="C92" i="7"/>
  <c r="C93" i="7"/>
  <c r="C95" i="7"/>
  <c r="C96" i="7"/>
  <c r="C86" i="7"/>
  <c r="C90" i="7"/>
  <c r="C96" i="14"/>
  <c r="C98" i="14"/>
  <c r="C99" i="14"/>
  <c r="C101" i="14"/>
  <c r="C88" i="14"/>
  <c r="C92" i="6"/>
  <c r="N74" i="7"/>
  <c r="N78" i="7"/>
  <c r="N26" i="7"/>
  <c r="N77" i="7"/>
  <c r="N76" i="7"/>
  <c r="N72" i="7"/>
  <c r="C91" i="6"/>
  <c r="C93" i="14"/>
  <c r="C84" i="7"/>
  <c r="C80" i="7"/>
  <c r="C80" i="11"/>
  <c r="C89" i="11"/>
  <c r="C87" i="11"/>
  <c r="C82" i="11"/>
  <c r="C89" i="7"/>
  <c r="C83" i="10"/>
  <c r="C92" i="10"/>
  <c r="C85" i="10"/>
  <c r="C87" i="10"/>
  <c r="N78" i="12"/>
  <c r="N54" i="12"/>
  <c r="N77" i="12"/>
  <c r="N80" i="12"/>
  <c r="N76" i="12"/>
  <c r="N26" i="12"/>
  <c r="N75" i="12"/>
  <c r="N81" i="12"/>
  <c r="N118" i="12"/>
  <c r="N79" i="12"/>
  <c r="N101" i="12" s="1"/>
  <c r="C83" i="15"/>
  <c r="C92" i="15"/>
  <c r="C86" i="15"/>
  <c r="C94" i="15"/>
  <c r="C96" i="15"/>
  <c r="C98" i="15"/>
  <c r="C99" i="15"/>
  <c r="C101" i="15"/>
  <c r="C102" i="15"/>
  <c r="C103" i="15"/>
  <c r="C104" i="15"/>
  <c r="C105" i="15"/>
  <c r="C89" i="15"/>
  <c r="C93" i="15"/>
  <c r="C85" i="15"/>
  <c r="C87" i="15"/>
  <c r="C82" i="15"/>
  <c r="C90" i="15"/>
  <c r="C95" i="15"/>
  <c r="C97" i="15"/>
  <c r="C85" i="12"/>
  <c r="C91" i="12"/>
  <c r="C95" i="12"/>
  <c r="C99" i="12"/>
  <c r="C103" i="12"/>
  <c r="C104" i="12"/>
  <c r="C96" i="12"/>
  <c r="C92" i="12"/>
  <c r="C83" i="12"/>
  <c r="N75" i="13"/>
  <c r="N74" i="13"/>
  <c r="N78" i="13"/>
  <c r="N90" i="13" s="1"/>
  <c r="N77" i="13"/>
  <c r="N83" i="13" s="1"/>
  <c r="N73" i="13"/>
  <c r="N26" i="13"/>
  <c r="C87" i="12"/>
  <c r="C81" i="13"/>
  <c r="C85" i="13"/>
  <c r="C88" i="13"/>
  <c r="C92" i="13"/>
  <c r="C100" i="13"/>
  <c r="C82" i="13"/>
  <c r="C89" i="13"/>
  <c r="C93" i="13"/>
  <c r="C97" i="13"/>
  <c r="C101" i="13"/>
  <c r="C94" i="13"/>
  <c r="C98" i="13"/>
  <c r="C102" i="13"/>
  <c r="N78" i="16"/>
  <c r="N75" i="16"/>
  <c r="N77" i="16"/>
  <c r="N81" i="16"/>
  <c r="N80" i="16"/>
  <c r="N26" i="16"/>
  <c r="C103" i="16"/>
  <c r="C83" i="16"/>
  <c r="C87" i="16"/>
  <c r="C85" i="16"/>
  <c r="C92" i="16"/>
  <c r="C96" i="16"/>
  <c r="C100" i="16"/>
  <c r="C104" i="16"/>
  <c r="J61" i="7"/>
  <c r="I61" i="7"/>
  <c r="C6" i="8"/>
  <c r="B17" i="9"/>
  <c r="B16" i="9"/>
  <c r="N94" i="14"/>
  <c r="N95" i="11"/>
  <c r="N95" i="14"/>
  <c r="N80" i="11"/>
  <c r="N90" i="11"/>
  <c r="N93" i="11"/>
  <c r="N97" i="11"/>
  <c r="N99" i="14"/>
  <c r="N91" i="11"/>
  <c r="N90" i="10"/>
  <c r="N88" i="14"/>
  <c r="N79" i="11"/>
  <c r="N99" i="10"/>
  <c r="N101" i="11"/>
  <c r="N88" i="10"/>
  <c r="N99" i="11"/>
  <c r="N83" i="14"/>
  <c r="N102" i="14"/>
  <c r="N84" i="14"/>
  <c r="N85" i="11"/>
  <c r="D77" i="4"/>
  <c r="D76" i="4"/>
  <c r="E76" i="4"/>
  <c r="E75" i="4"/>
  <c r="I21" i="14"/>
  <c r="H21" i="14" s="1"/>
  <c r="G21" i="14" s="1"/>
  <c r="F21" i="14" s="1"/>
  <c r="E21" i="14" s="1"/>
  <c r="D21" i="14" s="1"/>
  <c r="C5" i="11"/>
  <c r="N89" i="14"/>
  <c r="N84" i="11"/>
  <c r="N81" i="11"/>
  <c r="N100" i="11"/>
  <c r="N92" i="11"/>
  <c r="N89" i="11"/>
  <c r="N102" i="10"/>
  <c r="N101" i="14"/>
  <c r="N90" i="14"/>
  <c r="N82" i="11"/>
  <c r="N88" i="11"/>
  <c r="N102" i="11"/>
  <c r="N98" i="11"/>
  <c r="N94" i="11"/>
  <c r="N87" i="11"/>
  <c r="N83" i="11"/>
  <c r="N92" i="14"/>
  <c r="N100" i="10"/>
  <c r="N104" i="10"/>
  <c r="N85" i="14"/>
  <c r="N91" i="14"/>
  <c r="N86" i="11"/>
  <c r="E96" i="4"/>
  <c r="E67" i="4"/>
  <c r="D7" i="19"/>
  <c r="D96" i="4"/>
  <c r="D67" i="4"/>
  <c r="N8" i="13"/>
  <c r="C6" i="11"/>
  <c r="L61" i="11" s="1"/>
  <c r="D10" i="4"/>
  <c r="N86" i="13"/>
  <c r="N87" i="12"/>
  <c r="N88" i="12"/>
  <c r="N91" i="12"/>
  <c r="N94" i="12"/>
  <c r="N102" i="12"/>
  <c r="N92" i="12"/>
  <c r="N8" i="11"/>
  <c r="J21" i="11" s="1"/>
  <c r="C4" i="7"/>
  <c r="C9" i="4"/>
  <c r="C36" i="4"/>
  <c r="E7" i="19"/>
  <c r="N81" i="13"/>
  <c r="N82" i="13"/>
  <c r="N89" i="13"/>
  <c r="N93" i="13"/>
  <c r="N102" i="13"/>
  <c r="N91" i="13"/>
  <c r="N99" i="13"/>
  <c r="N80" i="13"/>
  <c r="D9" i="4"/>
  <c r="E10" i="19"/>
  <c r="D10" i="19"/>
  <c r="L21" i="6"/>
  <c r="L23" i="6"/>
  <c r="C4" i="11"/>
  <c r="C65" i="11"/>
  <c r="H61" i="11"/>
  <c r="J21" i="13"/>
  <c r="D36" i="4"/>
  <c r="J21" i="6"/>
  <c r="J22" i="6" s="1"/>
  <c r="I21" i="16"/>
  <c r="H21" i="16"/>
  <c r="G21" i="16" s="1"/>
  <c r="F21" i="16" s="1"/>
  <c r="E21" i="16" s="1"/>
  <c r="D21" i="16" s="1"/>
  <c r="I21" i="15"/>
  <c r="H21" i="15"/>
  <c r="G21" i="15"/>
  <c r="F21" i="15"/>
  <c r="E21" i="15"/>
  <c r="D21" i="15" s="1"/>
  <c r="J21" i="7"/>
  <c r="J23" i="7" s="1"/>
  <c r="I21" i="7"/>
  <c r="H21" i="7" s="1"/>
  <c r="D16" i="10"/>
  <c r="C21" i="10"/>
  <c r="C23" i="10" s="1"/>
  <c r="N21" i="10"/>
  <c r="N23" i="10" s="1"/>
  <c r="C21" i="6"/>
  <c r="D16" i="6"/>
  <c r="N21" i="6"/>
  <c r="C18" i="11"/>
  <c r="D18" i="11" s="1"/>
  <c r="E61" i="11"/>
  <c r="F61" i="11"/>
  <c r="D16" i="15"/>
  <c r="C21" i="15"/>
  <c r="N21" i="15"/>
  <c r="L21" i="12"/>
  <c r="J21" i="12"/>
  <c r="I21" i="12" s="1"/>
  <c r="K61" i="11"/>
  <c r="D61" i="11"/>
  <c r="N61" i="11"/>
  <c r="D16" i="14"/>
  <c r="N21" i="14"/>
  <c r="C21" i="14"/>
  <c r="C23" i="14" s="1"/>
  <c r="E65" i="7"/>
  <c r="C65" i="7"/>
  <c r="E63" i="7"/>
  <c r="N21" i="7"/>
  <c r="N23" i="7" s="1"/>
  <c r="J21" i="14"/>
  <c r="L21" i="14"/>
  <c r="L23" i="14" s="1"/>
  <c r="C61" i="11"/>
  <c r="D17" i="11"/>
  <c r="G61" i="11"/>
  <c r="L22" i="6"/>
  <c r="L26" i="6" s="1"/>
  <c r="L78" i="6"/>
  <c r="M21" i="6"/>
  <c r="N21" i="11"/>
  <c r="N23" i="11"/>
  <c r="D16" i="11"/>
  <c r="I21" i="6"/>
  <c r="C64" i="11"/>
  <c r="C21" i="11"/>
  <c r="C23" i="11" s="1"/>
  <c r="E63" i="11"/>
  <c r="E64" i="11"/>
  <c r="I21" i="13"/>
  <c r="H21" i="13" s="1"/>
  <c r="E65" i="11"/>
  <c r="C63" i="11"/>
  <c r="J23" i="6"/>
  <c r="L21" i="10"/>
  <c r="L22" i="10" s="1"/>
  <c r="L81" i="10" s="1"/>
  <c r="J21" i="10"/>
  <c r="D30" i="14"/>
  <c r="E30" i="14"/>
  <c r="L30" i="14"/>
  <c r="H30" i="14"/>
  <c r="C30" i="14"/>
  <c r="I30" i="14"/>
  <c r="F30" i="14"/>
  <c r="G30" i="14"/>
  <c r="N30" i="14"/>
  <c r="J30" i="14"/>
  <c r="M30" i="14"/>
  <c r="N30" i="15"/>
  <c r="I30" i="15"/>
  <c r="M30" i="15"/>
  <c r="G30" i="15"/>
  <c r="L30" i="15"/>
  <c r="E30" i="15"/>
  <c r="H30" i="15"/>
  <c r="J30" i="15"/>
  <c r="C30" i="15"/>
  <c r="D30" i="15"/>
  <c r="F30" i="15"/>
  <c r="E30" i="16"/>
  <c r="F30" i="16"/>
  <c r="N30" i="16"/>
  <c r="C30" i="16"/>
  <c r="D30" i="16"/>
  <c r="H30" i="16"/>
  <c r="L30" i="16"/>
  <c r="G30" i="16"/>
  <c r="J30" i="16"/>
  <c r="M30" i="16"/>
  <c r="I30" i="16"/>
  <c r="H23" i="7"/>
  <c r="J22" i="7"/>
  <c r="J72" i="7" s="1"/>
  <c r="J73" i="7"/>
  <c r="I23" i="7"/>
  <c r="I22" i="7"/>
  <c r="M21" i="14"/>
  <c r="M22" i="14" s="1"/>
  <c r="L118" i="6"/>
  <c r="L80" i="6"/>
  <c r="L77" i="6"/>
  <c r="L54" i="6"/>
  <c r="L76" i="6"/>
  <c r="N23" i="15"/>
  <c r="N23" i="6"/>
  <c r="M21" i="12"/>
  <c r="C23" i="15"/>
  <c r="I23" i="14"/>
  <c r="I22" i="14"/>
  <c r="I76" i="14"/>
  <c r="E68" i="11"/>
  <c r="C68" i="11"/>
  <c r="C69" i="11" s="1"/>
  <c r="C23" i="6"/>
  <c r="L21" i="16"/>
  <c r="J21" i="16"/>
  <c r="N23" i="14"/>
  <c r="M22" i="6"/>
  <c r="M81" i="6" s="1"/>
  <c r="M23" i="6"/>
  <c r="L21" i="15"/>
  <c r="J21" i="15"/>
  <c r="L75" i="6"/>
  <c r="L81" i="6"/>
  <c r="I23" i="6"/>
  <c r="J54" i="6"/>
  <c r="J77" i="6"/>
  <c r="J26" i="6"/>
  <c r="J81" i="6"/>
  <c r="J75" i="6"/>
  <c r="J80" i="6"/>
  <c r="J78" i="6"/>
  <c r="J115" i="7"/>
  <c r="J51" i="7"/>
  <c r="J23" i="10"/>
  <c r="J26" i="7"/>
  <c r="J22" i="10"/>
  <c r="I21" i="10"/>
  <c r="J75" i="7"/>
  <c r="J74" i="7"/>
  <c r="J77" i="7"/>
  <c r="J76" i="7"/>
  <c r="J78" i="7"/>
  <c r="I77" i="14"/>
  <c r="I79" i="14"/>
  <c r="I80" i="14"/>
  <c r="I81" i="14"/>
  <c r="I78" i="14"/>
  <c r="I51" i="7"/>
  <c r="I115" i="7"/>
  <c r="J22" i="11"/>
  <c r="J75" i="11" s="1"/>
  <c r="I21" i="11"/>
  <c r="J23" i="11"/>
  <c r="I26" i="14"/>
  <c r="I75" i="14"/>
  <c r="I118" i="14"/>
  <c r="I54" i="14"/>
  <c r="M23" i="14"/>
  <c r="I22" i="15"/>
  <c r="I23" i="15"/>
  <c r="J22" i="15"/>
  <c r="J23" i="15"/>
  <c r="K54" i="15"/>
  <c r="K118" i="15"/>
  <c r="K75" i="15"/>
  <c r="M78" i="6"/>
  <c r="M75" i="6"/>
  <c r="M79" i="6"/>
  <c r="M77" i="6"/>
  <c r="M118" i="6"/>
  <c r="M80" i="6"/>
  <c r="M76" i="6"/>
  <c r="M26" i="6"/>
  <c r="M54" i="6"/>
  <c r="M21" i="16"/>
  <c r="L22" i="15"/>
  <c r="M21" i="15"/>
  <c r="L23" i="15"/>
  <c r="H23" i="14"/>
  <c r="H22" i="14"/>
  <c r="H26" i="14" s="1"/>
  <c r="H21" i="12"/>
  <c r="J76" i="15"/>
  <c r="J78" i="15" s="1"/>
  <c r="G21" i="13"/>
  <c r="J77" i="10"/>
  <c r="I23" i="10"/>
  <c r="I22" i="10"/>
  <c r="I54" i="10"/>
  <c r="L80" i="10"/>
  <c r="H21" i="10"/>
  <c r="J81" i="10"/>
  <c r="J80" i="10"/>
  <c r="J118" i="10"/>
  <c r="J78" i="10"/>
  <c r="J79" i="10"/>
  <c r="J54" i="10"/>
  <c r="J26" i="10"/>
  <c r="L75" i="10"/>
  <c r="L77" i="10"/>
  <c r="L118" i="10"/>
  <c r="L79" i="10"/>
  <c r="J76" i="10"/>
  <c r="J75" i="10"/>
  <c r="L76" i="10"/>
  <c r="L54" i="10"/>
  <c r="L26" i="10"/>
  <c r="J88" i="7"/>
  <c r="J94" i="7"/>
  <c r="J100" i="7"/>
  <c r="J92" i="7"/>
  <c r="J99" i="7"/>
  <c r="J97" i="7"/>
  <c r="J98" i="7"/>
  <c r="J95" i="7"/>
  <c r="J80" i="7"/>
  <c r="L76" i="15"/>
  <c r="I76" i="15"/>
  <c r="H76" i="14"/>
  <c r="M76" i="14"/>
  <c r="H21" i="11"/>
  <c r="I22" i="11"/>
  <c r="I23" i="11"/>
  <c r="J73" i="11"/>
  <c r="J78" i="11"/>
  <c r="J26" i="11"/>
  <c r="J51" i="11"/>
  <c r="J76" i="11"/>
  <c r="J72" i="11"/>
  <c r="J74" i="11"/>
  <c r="J115" i="11"/>
  <c r="J77" i="11"/>
  <c r="G21" i="12"/>
  <c r="M93" i="6"/>
  <c r="M89" i="6"/>
  <c r="H22" i="15"/>
  <c r="H23" i="15"/>
  <c r="I84" i="14"/>
  <c r="I101" i="14"/>
  <c r="I91" i="14"/>
  <c r="I94" i="14"/>
  <c r="I102" i="14"/>
  <c r="I103" i="14"/>
  <c r="I104" i="14"/>
  <c r="I92" i="14"/>
  <c r="I95" i="14"/>
  <c r="I99" i="14"/>
  <c r="I82" i="14"/>
  <c r="I96" i="14"/>
  <c r="I87" i="14"/>
  <c r="M23" i="15"/>
  <c r="M22" i="15"/>
  <c r="M76" i="15" s="1"/>
  <c r="M26" i="14"/>
  <c r="M75" i="14"/>
  <c r="M118" i="14"/>
  <c r="M54" i="14"/>
  <c r="H118" i="14"/>
  <c r="M82" i="6"/>
  <c r="M87" i="6"/>
  <c r="M86" i="6"/>
  <c r="M85" i="6"/>
  <c r="M92" i="6"/>
  <c r="M84" i="6"/>
  <c r="M88" i="6"/>
  <c r="M90" i="6"/>
  <c r="M94" i="6"/>
  <c r="M95" i="6"/>
  <c r="M96" i="6"/>
  <c r="M97" i="6"/>
  <c r="M98" i="6"/>
  <c r="M99" i="6"/>
  <c r="M100" i="6"/>
  <c r="M101" i="6"/>
  <c r="M102" i="6"/>
  <c r="M103" i="6"/>
  <c r="M104" i="6"/>
  <c r="M105" i="6"/>
  <c r="M91" i="6"/>
  <c r="M83" i="6"/>
  <c r="J26" i="15"/>
  <c r="J118" i="15"/>
  <c r="J75" i="15"/>
  <c r="J54" i="15"/>
  <c r="I89" i="14"/>
  <c r="I93" i="14"/>
  <c r="G22" i="14"/>
  <c r="G54" i="14" s="1"/>
  <c r="G23" i="14"/>
  <c r="L26" i="15"/>
  <c r="L54" i="15"/>
  <c r="L118" i="15"/>
  <c r="L75" i="15"/>
  <c r="I54" i="15"/>
  <c r="I75" i="15"/>
  <c r="I26" i="15"/>
  <c r="I118" i="15"/>
  <c r="J81" i="15"/>
  <c r="J80" i="15"/>
  <c r="J79" i="15"/>
  <c r="J96" i="15" s="1"/>
  <c r="J77" i="15"/>
  <c r="F21" i="13"/>
  <c r="H76" i="15"/>
  <c r="H79" i="15"/>
  <c r="I81" i="10"/>
  <c r="I76" i="10"/>
  <c r="I78" i="10"/>
  <c r="I26" i="10"/>
  <c r="I118" i="10"/>
  <c r="I79" i="10"/>
  <c r="H22" i="10"/>
  <c r="H81" i="10"/>
  <c r="G21" i="10"/>
  <c r="G22" i="10" s="1"/>
  <c r="H23" i="10"/>
  <c r="I80" i="10"/>
  <c r="I77" i="10"/>
  <c r="I75" i="10"/>
  <c r="J95" i="10"/>
  <c r="J90" i="10"/>
  <c r="J104" i="10"/>
  <c r="J91" i="10"/>
  <c r="J101" i="10"/>
  <c r="J88" i="10"/>
  <c r="J86" i="10"/>
  <c r="J99" i="10"/>
  <c r="J84" i="10"/>
  <c r="J87" i="10"/>
  <c r="J92" i="10"/>
  <c r="J89" i="10"/>
  <c r="J102" i="10"/>
  <c r="J83" i="10"/>
  <c r="J93" i="10"/>
  <c r="J105" i="10"/>
  <c r="J100" i="10"/>
  <c r="J96" i="10"/>
  <c r="J82" i="10"/>
  <c r="J103" i="10"/>
  <c r="J98" i="10"/>
  <c r="J97" i="10"/>
  <c r="J85" i="10"/>
  <c r="J94" i="10"/>
  <c r="I79" i="15"/>
  <c r="I80" i="15"/>
  <c r="I81" i="15"/>
  <c r="I77" i="15"/>
  <c r="I78" i="15"/>
  <c r="L78" i="15"/>
  <c r="L79" i="15"/>
  <c r="L81" i="15"/>
  <c r="L77" i="15"/>
  <c r="L80" i="15"/>
  <c r="H81" i="14"/>
  <c r="H78" i="14"/>
  <c r="H79" i="14"/>
  <c r="H77" i="14"/>
  <c r="H80" i="14"/>
  <c r="M80" i="14"/>
  <c r="M79" i="14"/>
  <c r="M78" i="14"/>
  <c r="M77" i="14"/>
  <c r="M81" i="14"/>
  <c r="I74" i="11"/>
  <c r="I51" i="11"/>
  <c r="I115" i="11"/>
  <c r="I76" i="11"/>
  <c r="I75" i="11"/>
  <c r="I77" i="11"/>
  <c r="I78" i="11"/>
  <c r="I26" i="11"/>
  <c r="I73" i="11"/>
  <c r="I72" i="11"/>
  <c r="H23" i="11"/>
  <c r="H22" i="11"/>
  <c r="G21" i="11"/>
  <c r="J82" i="11"/>
  <c r="J83" i="11"/>
  <c r="J98" i="11"/>
  <c r="J89" i="11"/>
  <c r="J91" i="11"/>
  <c r="J99" i="11"/>
  <c r="J81" i="11"/>
  <c r="J92" i="11"/>
  <c r="J100" i="11"/>
  <c r="J85" i="11"/>
  <c r="J93" i="11"/>
  <c r="J101" i="11"/>
  <c r="J87" i="11"/>
  <c r="J94" i="11"/>
  <c r="J102" i="11"/>
  <c r="J88" i="11"/>
  <c r="J95" i="11"/>
  <c r="J79" i="11"/>
  <c r="J96" i="11"/>
  <c r="J80" i="11"/>
  <c r="J84" i="11"/>
  <c r="J97" i="11"/>
  <c r="J86" i="11"/>
  <c r="J90" i="11"/>
  <c r="F22" i="14"/>
  <c r="F76" i="14"/>
  <c r="F23" i="14"/>
  <c r="E21" i="13"/>
  <c r="G22" i="15"/>
  <c r="G23" i="15"/>
  <c r="F21" i="12"/>
  <c r="G75" i="14"/>
  <c r="G26" i="14"/>
  <c r="G118" i="14"/>
  <c r="J93" i="15"/>
  <c r="J89" i="15"/>
  <c r="M26" i="15"/>
  <c r="M54" i="15"/>
  <c r="M75" i="15"/>
  <c r="M118" i="15"/>
  <c r="H26" i="15"/>
  <c r="H54" i="15"/>
  <c r="H118" i="15"/>
  <c r="H75" i="15"/>
  <c r="J82" i="15"/>
  <c r="J87" i="15"/>
  <c r="J86" i="15"/>
  <c r="J95" i="15"/>
  <c r="J84" i="15"/>
  <c r="J88" i="15"/>
  <c r="J90" i="15"/>
  <c r="J91" i="15"/>
  <c r="J97" i="15"/>
  <c r="J98" i="15"/>
  <c r="J100" i="15"/>
  <c r="J102" i="15"/>
  <c r="J104" i="15"/>
  <c r="J105" i="15"/>
  <c r="J92" i="15"/>
  <c r="J99" i="15"/>
  <c r="J101" i="15"/>
  <c r="J103" i="15"/>
  <c r="J85" i="15"/>
  <c r="J94" i="15"/>
  <c r="H26" i="10"/>
  <c r="H77" i="15"/>
  <c r="H80" i="10"/>
  <c r="H80" i="15"/>
  <c r="H78" i="15"/>
  <c r="H97" i="15" s="1"/>
  <c r="H81" i="15"/>
  <c r="M80" i="15"/>
  <c r="G76" i="15"/>
  <c r="G77" i="15"/>
  <c r="M77" i="15"/>
  <c r="M81" i="15"/>
  <c r="H78" i="10"/>
  <c r="H54" i="10"/>
  <c r="H75" i="10"/>
  <c r="F21" i="10"/>
  <c r="F23" i="10" s="1"/>
  <c r="H76" i="10"/>
  <c r="G23" i="10"/>
  <c r="H79" i="10"/>
  <c r="H77" i="10"/>
  <c r="I93" i="10"/>
  <c r="H118" i="10"/>
  <c r="I90" i="10"/>
  <c r="I88" i="10"/>
  <c r="I84" i="10"/>
  <c r="I86" i="10"/>
  <c r="I82" i="10"/>
  <c r="I104" i="10"/>
  <c r="I102" i="10"/>
  <c r="I100" i="10"/>
  <c r="I94" i="10"/>
  <c r="I92" i="10"/>
  <c r="I99" i="10"/>
  <c r="I97" i="10"/>
  <c r="I83" i="10"/>
  <c r="I98" i="10"/>
  <c r="I91" i="10"/>
  <c r="I105" i="10"/>
  <c r="I96" i="10"/>
  <c r="I95" i="10"/>
  <c r="I89" i="10"/>
  <c r="I103" i="10"/>
  <c r="I85" i="10"/>
  <c r="I87" i="10"/>
  <c r="I101" i="10"/>
  <c r="M104" i="14"/>
  <c r="M98" i="14"/>
  <c r="H91" i="14"/>
  <c r="M91" i="14"/>
  <c r="H100" i="14"/>
  <c r="M103" i="14"/>
  <c r="I85" i="15"/>
  <c r="M101" i="14"/>
  <c r="M94" i="14"/>
  <c r="I95" i="15"/>
  <c r="I103" i="15"/>
  <c r="M88" i="14"/>
  <c r="L91" i="15"/>
  <c r="M99" i="14"/>
  <c r="M96" i="14"/>
  <c r="M92" i="14"/>
  <c r="I89" i="15"/>
  <c r="M97" i="14"/>
  <c r="I90" i="15"/>
  <c r="M86" i="14"/>
  <c r="M85" i="14"/>
  <c r="M82" i="14"/>
  <c r="M83" i="14"/>
  <c r="M90" i="14"/>
  <c r="M105" i="14"/>
  <c r="M95" i="14"/>
  <c r="I102" i="15"/>
  <c r="I86" i="15"/>
  <c r="I101" i="15"/>
  <c r="I99" i="15"/>
  <c r="M93" i="14"/>
  <c r="H94" i="14"/>
  <c r="L89" i="15"/>
  <c r="I98" i="15"/>
  <c r="I105" i="15"/>
  <c r="I96" i="15"/>
  <c r="I92" i="15"/>
  <c r="I88" i="15"/>
  <c r="I87" i="15"/>
  <c r="H97" i="14"/>
  <c r="H96" i="14"/>
  <c r="L96" i="15"/>
  <c r="H89" i="14"/>
  <c r="L90" i="15"/>
  <c r="H86" i="14"/>
  <c r="H99" i="14"/>
  <c r="H88" i="14"/>
  <c r="H82" i="14"/>
  <c r="H93" i="14"/>
  <c r="L103" i="15"/>
  <c r="L95" i="15"/>
  <c r="I93" i="15"/>
  <c r="H95" i="14"/>
  <c r="H84" i="14"/>
  <c r="L101" i="15"/>
  <c r="L86" i="15"/>
  <c r="L83" i="15"/>
  <c r="H85" i="14"/>
  <c r="H104" i="14"/>
  <c r="L105" i="15"/>
  <c r="L87" i="15"/>
  <c r="H102" i="14"/>
  <c r="L93" i="15"/>
  <c r="I82" i="15"/>
  <c r="H90" i="14"/>
  <c r="H103" i="14"/>
  <c r="L100" i="15"/>
  <c r="L94" i="15"/>
  <c r="H92" i="14"/>
  <c r="H98" i="14"/>
  <c r="L98" i="15"/>
  <c r="L92" i="15"/>
  <c r="M89" i="14"/>
  <c r="H83" i="14"/>
  <c r="H105" i="14"/>
  <c r="H87" i="14"/>
  <c r="M100" i="14"/>
  <c r="M102" i="14"/>
  <c r="I94" i="15"/>
  <c r="I100" i="15"/>
  <c r="I84" i="15"/>
  <c r="L99" i="15"/>
  <c r="L97" i="15"/>
  <c r="L82" i="15"/>
  <c r="H101" i="14"/>
  <c r="M84" i="14"/>
  <c r="M87" i="14"/>
  <c r="I83" i="15"/>
  <c r="I97" i="15"/>
  <c r="L104" i="15"/>
  <c r="L88" i="15"/>
  <c r="L85" i="15"/>
  <c r="I104" i="15"/>
  <c r="I91" i="15"/>
  <c r="L102" i="15"/>
  <c r="L84" i="15"/>
  <c r="F79" i="14"/>
  <c r="F77" i="14"/>
  <c r="F78" i="14"/>
  <c r="F81" i="14"/>
  <c r="F80" i="14"/>
  <c r="I90" i="11"/>
  <c r="I86" i="11"/>
  <c r="I84" i="11"/>
  <c r="I88" i="11"/>
  <c r="I98" i="11"/>
  <c r="I83" i="11"/>
  <c r="I91" i="11"/>
  <c r="I99" i="11"/>
  <c r="I102" i="11"/>
  <c r="I81" i="11"/>
  <c r="I92" i="11"/>
  <c r="I100" i="11"/>
  <c r="I87" i="11"/>
  <c r="I85" i="11"/>
  <c r="I93" i="11"/>
  <c r="I101" i="11"/>
  <c r="I82" i="11"/>
  <c r="I95" i="11"/>
  <c r="I80" i="11"/>
  <c r="I96" i="11"/>
  <c r="I94" i="11"/>
  <c r="I79" i="11"/>
  <c r="I89" i="11"/>
  <c r="I97" i="11"/>
  <c r="F21" i="11"/>
  <c r="G22" i="11"/>
  <c r="G23" i="11"/>
  <c r="H115" i="11"/>
  <c r="H74" i="11"/>
  <c r="H72" i="11"/>
  <c r="H77" i="11"/>
  <c r="H51" i="11"/>
  <c r="H73" i="11"/>
  <c r="H78" i="11"/>
  <c r="H26" i="11"/>
  <c r="H76" i="11"/>
  <c r="H75" i="11"/>
  <c r="H104" i="15"/>
  <c r="H100" i="15"/>
  <c r="F22" i="15"/>
  <c r="F23" i="15"/>
  <c r="G26" i="15"/>
  <c r="G54" i="15"/>
  <c r="G118" i="15"/>
  <c r="G75" i="15"/>
  <c r="E23" i="14"/>
  <c r="E22" i="14"/>
  <c r="E26" i="14" s="1"/>
  <c r="E21" i="12"/>
  <c r="D21" i="13"/>
  <c r="F54" i="14"/>
  <c r="F26" i="14"/>
  <c r="F118" i="14"/>
  <c r="F75" i="14"/>
  <c r="G78" i="10"/>
  <c r="G80" i="10"/>
  <c r="G76" i="10"/>
  <c r="G81" i="10"/>
  <c r="G118" i="10"/>
  <c r="G79" i="10"/>
  <c r="G26" i="10"/>
  <c r="G75" i="10"/>
  <c r="G77" i="10"/>
  <c r="G54" i="10"/>
  <c r="H94" i="15"/>
  <c r="H93" i="15"/>
  <c r="H91" i="15"/>
  <c r="H87" i="15"/>
  <c r="H101" i="15"/>
  <c r="H82" i="15"/>
  <c r="H95" i="15"/>
  <c r="H83" i="10"/>
  <c r="H86" i="15"/>
  <c r="H105" i="15"/>
  <c r="H96" i="15"/>
  <c r="G78" i="15"/>
  <c r="H92" i="15"/>
  <c r="H90" i="15"/>
  <c r="G81" i="15"/>
  <c r="H85" i="15"/>
  <c r="H83" i="15"/>
  <c r="H88" i="15"/>
  <c r="H98" i="15"/>
  <c r="H103" i="15"/>
  <c r="H84" i="15"/>
  <c r="H89" i="15"/>
  <c r="H102" i="15"/>
  <c r="H99" i="15"/>
  <c r="G79" i="15"/>
  <c r="G80" i="15"/>
  <c r="F76" i="15"/>
  <c r="F81" i="15" s="1"/>
  <c r="H104" i="10"/>
  <c r="F22" i="10"/>
  <c r="F80" i="10"/>
  <c r="E21" i="10"/>
  <c r="H105" i="10"/>
  <c r="H92" i="10"/>
  <c r="H93" i="10"/>
  <c r="H96" i="10"/>
  <c r="H82" i="10"/>
  <c r="H89" i="10"/>
  <c r="H103" i="10"/>
  <c r="H85" i="10"/>
  <c r="H94" i="10"/>
  <c r="H101" i="10"/>
  <c r="H91" i="10"/>
  <c r="H102" i="10"/>
  <c r="H97" i="10"/>
  <c r="H90" i="10"/>
  <c r="H100" i="10"/>
  <c r="H95" i="10"/>
  <c r="H88" i="10"/>
  <c r="H99" i="10"/>
  <c r="H86" i="10"/>
  <c r="H84" i="10"/>
  <c r="H98" i="10"/>
  <c r="H87" i="10"/>
  <c r="H86" i="11"/>
  <c r="H90" i="11"/>
  <c r="G51" i="11"/>
  <c r="G72" i="11"/>
  <c r="G76" i="11"/>
  <c r="G77" i="11"/>
  <c r="G75" i="11"/>
  <c r="G73" i="11"/>
  <c r="G26" i="11"/>
  <c r="G78" i="11"/>
  <c r="G74" i="11"/>
  <c r="G115" i="11"/>
  <c r="H102" i="11"/>
  <c r="H79" i="11"/>
  <c r="H96" i="11"/>
  <c r="H85" i="11"/>
  <c r="H89" i="11"/>
  <c r="H81" i="11"/>
  <c r="H83" i="11"/>
  <c r="H97" i="11"/>
  <c r="H98" i="11"/>
  <c r="H84" i="11"/>
  <c r="H87" i="11"/>
  <c r="H91" i="11"/>
  <c r="H99" i="11"/>
  <c r="H88" i="11"/>
  <c r="H92" i="11"/>
  <c r="H100" i="11"/>
  <c r="H80" i="11"/>
  <c r="H93" i="11"/>
  <c r="H101" i="11"/>
  <c r="H94" i="11"/>
  <c r="H82" i="11"/>
  <c r="H95" i="11"/>
  <c r="F23" i="11"/>
  <c r="F22" i="11"/>
  <c r="E21" i="11"/>
  <c r="F89" i="14"/>
  <c r="F93" i="14"/>
  <c r="E75" i="14"/>
  <c r="E118" i="14"/>
  <c r="E54" i="14"/>
  <c r="E23" i="10"/>
  <c r="E22" i="15"/>
  <c r="E76" i="15" s="1"/>
  <c r="E23" i="15"/>
  <c r="G82" i="10"/>
  <c r="G87" i="10"/>
  <c r="G86" i="10"/>
  <c r="G95" i="10"/>
  <c r="G91" i="10"/>
  <c r="G97" i="10"/>
  <c r="G84" i="10"/>
  <c r="G88" i="10"/>
  <c r="G90" i="10"/>
  <c r="G98" i="10"/>
  <c r="G99" i="10"/>
  <c r="G100" i="10"/>
  <c r="G101" i="10"/>
  <c r="G102" i="10"/>
  <c r="G103" i="10"/>
  <c r="G104" i="10"/>
  <c r="G105" i="10"/>
  <c r="G85" i="10"/>
  <c r="G94" i="10"/>
  <c r="G96" i="10"/>
  <c r="G92" i="10"/>
  <c r="G83" i="10"/>
  <c r="F91" i="14"/>
  <c r="F98" i="14"/>
  <c r="F83" i="14"/>
  <c r="F85" i="14"/>
  <c r="F92" i="14"/>
  <c r="F95" i="14"/>
  <c r="F99" i="14"/>
  <c r="F82" i="14"/>
  <c r="F87" i="14"/>
  <c r="F86" i="14"/>
  <c r="F96" i="14"/>
  <c r="F100" i="14"/>
  <c r="F94" i="14"/>
  <c r="F102" i="14"/>
  <c r="F103" i="14"/>
  <c r="F104" i="14"/>
  <c r="F105" i="14"/>
  <c r="F97" i="14"/>
  <c r="F90" i="14"/>
  <c r="F88" i="14"/>
  <c r="F101" i="14"/>
  <c r="F84" i="14"/>
  <c r="F26" i="15"/>
  <c r="F118" i="15"/>
  <c r="F75" i="15"/>
  <c r="F54" i="15"/>
  <c r="G93" i="10"/>
  <c r="G89" i="10"/>
  <c r="D21" i="12"/>
  <c r="D23" i="14"/>
  <c r="D22" i="14"/>
  <c r="D26" i="14" s="1"/>
  <c r="G86" i="15"/>
  <c r="G98" i="15"/>
  <c r="G104" i="15"/>
  <c r="G84" i="15"/>
  <c r="G83" i="15"/>
  <c r="G85" i="15"/>
  <c r="F76" i="10"/>
  <c r="F75" i="10"/>
  <c r="F54" i="10"/>
  <c r="G99" i="15"/>
  <c r="G92" i="15"/>
  <c r="G105" i="15"/>
  <c r="G95" i="15"/>
  <c r="G97" i="15"/>
  <c r="G103" i="15"/>
  <c r="G87" i="15"/>
  <c r="G89" i="15"/>
  <c r="G91" i="15"/>
  <c r="G82" i="15"/>
  <c r="G96" i="15"/>
  <c r="G101" i="15"/>
  <c r="G93" i="15"/>
  <c r="G102" i="15"/>
  <c r="G90" i="15"/>
  <c r="G100" i="15"/>
  <c r="F78" i="15"/>
  <c r="F83" i="15" s="1"/>
  <c r="G94" i="15"/>
  <c r="G88" i="15"/>
  <c r="F79" i="15"/>
  <c r="F80" i="15"/>
  <c r="F77" i="15"/>
  <c r="F81" i="10"/>
  <c r="D21" i="10"/>
  <c r="D23" i="10" s="1"/>
  <c r="F79" i="10"/>
  <c r="F90" i="10" s="1"/>
  <c r="E22" i="10"/>
  <c r="E54" i="10" s="1"/>
  <c r="F78" i="10"/>
  <c r="F26" i="10"/>
  <c r="F77" i="10"/>
  <c r="F118" i="10"/>
  <c r="D21" i="11"/>
  <c r="E22" i="11"/>
  <c r="E23" i="11"/>
  <c r="F73" i="11"/>
  <c r="F76" i="11"/>
  <c r="F26" i="11"/>
  <c r="F75" i="11"/>
  <c r="F115" i="11"/>
  <c r="F74" i="11"/>
  <c r="F72" i="11"/>
  <c r="F51" i="11"/>
  <c r="F78" i="11"/>
  <c r="F77" i="11"/>
  <c r="G88" i="11"/>
  <c r="G94" i="11"/>
  <c r="G82" i="11"/>
  <c r="G81" i="11"/>
  <c r="G98" i="11"/>
  <c r="G95" i="11"/>
  <c r="G79" i="11"/>
  <c r="G92" i="11"/>
  <c r="G102" i="11"/>
  <c r="G84" i="11"/>
  <c r="G96" i="11"/>
  <c r="G91" i="11"/>
  <c r="G93" i="11"/>
  <c r="G80" i="11"/>
  <c r="G83" i="11"/>
  <c r="G100" i="11"/>
  <c r="G97" i="11"/>
  <c r="G85" i="11"/>
  <c r="G87" i="11"/>
  <c r="G99" i="11"/>
  <c r="G101" i="11"/>
  <c r="G89" i="11"/>
  <c r="G90" i="11"/>
  <c r="G86" i="11"/>
  <c r="D22" i="15"/>
  <c r="D23" i="15"/>
  <c r="D22" i="10"/>
  <c r="D118" i="14"/>
  <c r="D54" i="14"/>
  <c r="D75" i="14"/>
  <c r="E54" i="15"/>
  <c r="E75" i="15"/>
  <c r="E26" i="15"/>
  <c r="E118" i="15"/>
  <c r="E75" i="10"/>
  <c r="E81" i="10"/>
  <c r="E79" i="10"/>
  <c r="E78" i="10"/>
  <c r="E76" i="10"/>
  <c r="E80" i="10"/>
  <c r="E83" i="10" s="1"/>
  <c r="E77" i="10"/>
  <c r="F96" i="10"/>
  <c r="F99" i="10"/>
  <c r="F100" i="10"/>
  <c r="F101" i="10"/>
  <c r="F98" i="10"/>
  <c r="F97" i="10"/>
  <c r="F104" i="10"/>
  <c r="F93" i="10"/>
  <c r="F90" i="15"/>
  <c r="F94" i="10"/>
  <c r="F105" i="10"/>
  <c r="F95" i="10"/>
  <c r="F89" i="10"/>
  <c r="F85" i="10"/>
  <c r="F86" i="10"/>
  <c r="F103" i="10"/>
  <c r="F102" i="10"/>
  <c r="F88" i="10"/>
  <c r="F84" i="10"/>
  <c r="F89" i="15"/>
  <c r="F96" i="15"/>
  <c r="F93" i="15"/>
  <c r="F94" i="15"/>
  <c r="F105" i="15"/>
  <c r="F88" i="15"/>
  <c r="F103" i="15"/>
  <c r="F84" i="15"/>
  <c r="F104" i="15"/>
  <c r="F101" i="15"/>
  <c r="F95" i="15"/>
  <c r="F99" i="15"/>
  <c r="F102" i="15"/>
  <c r="F86" i="15"/>
  <c r="F100" i="15"/>
  <c r="F87" i="15"/>
  <c r="F91" i="15"/>
  <c r="F98" i="15"/>
  <c r="F82" i="15"/>
  <c r="F92" i="15"/>
  <c r="E81" i="15"/>
  <c r="E78" i="15"/>
  <c r="D76" i="15"/>
  <c r="D77" i="15" s="1"/>
  <c r="D105" i="15" s="1"/>
  <c r="F92" i="10"/>
  <c r="F82" i="10"/>
  <c r="D22" i="11"/>
  <c r="D23" i="11"/>
  <c r="F81" i="11"/>
  <c r="F96" i="11"/>
  <c r="F85" i="11"/>
  <c r="F97" i="11"/>
  <c r="F82" i="11"/>
  <c r="F91" i="11"/>
  <c r="F99" i="11"/>
  <c r="F89" i="11"/>
  <c r="F92" i="11"/>
  <c r="F79" i="11"/>
  <c r="F93" i="11"/>
  <c r="F101" i="11"/>
  <c r="F84" i="11"/>
  <c r="F94" i="11"/>
  <c r="F102" i="11"/>
  <c r="F83" i="11"/>
  <c r="F88" i="11"/>
  <c r="F80" i="11"/>
  <c r="F98" i="11"/>
  <c r="F86" i="11"/>
  <c r="E115" i="11"/>
  <c r="E75" i="11"/>
  <c r="E100" i="11" s="1"/>
  <c r="E26" i="11"/>
  <c r="E77" i="11"/>
  <c r="E74" i="11"/>
  <c r="E73" i="11"/>
  <c r="E78" i="11"/>
  <c r="E51" i="11"/>
  <c r="E72" i="11"/>
  <c r="E76" i="11"/>
  <c r="E89" i="10"/>
  <c r="E93" i="10"/>
  <c r="E88" i="10"/>
  <c r="E96" i="10"/>
  <c r="E84" i="10"/>
  <c r="E92" i="10"/>
  <c r="E94" i="10"/>
  <c r="E82" i="10"/>
  <c r="E86" i="10"/>
  <c r="E95" i="10"/>
  <c r="E91" i="10"/>
  <c r="E97" i="10"/>
  <c r="E98" i="10"/>
  <c r="E99" i="10"/>
  <c r="E100" i="10"/>
  <c r="E101" i="10"/>
  <c r="E102" i="10"/>
  <c r="E104" i="10"/>
  <c r="E105" i="10"/>
  <c r="E87" i="10"/>
  <c r="E85" i="10"/>
  <c r="D80" i="10"/>
  <c r="D76" i="10"/>
  <c r="D79" i="10"/>
  <c r="D84" i="10" s="1"/>
  <c r="D78" i="10"/>
  <c r="D77" i="10"/>
  <c r="D118" i="10"/>
  <c r="D81" i="10"/>
  <c r="D26" i="10"/>
  <c r="D75" i="10"/>
  <c r="D54" i="10"/>
  <c r="D26" i="15"/>
  <c r="D54" i="15"/>
  <c r="D118" i="15"/>
  <c r="D75" i="15"/>
  <c r="D78" i="15"/>
  <c r="D79" i="15"/>
  <c r="D81" i="15"/>
  <c r="D80" i="15"/>
  <c r="D98" i="15" s="1"/>
  <c r="E90" i="11"/>
  <c r="E86" i="11"/>
  <c r="D78" i="11"/>
  <c r="D76" i="11"/>
  <c r="D79" i="11" s="1"/>
  <c r="D115" i="11"/>
  <c r="D77" i="11"/>
  <c r="D75" i="11"/>
  <c r="D73" i="11"/>
  <c r="D26" i="11"/>
  <c r="D74" i="11"/>
  <c r="D72" i="11"/>
  <c r="D51" i="11"/>
  <c r="E89" i="11"/>
  <c r="E98" i="11"/>
  <c r="E85" i="11"/>
  <c r="E91" i="11"/>
  <c r="E99" i="11"/>
  <c r="E81" i="11"/>
  <c r="E92" i="11"/>
  <c r="E87" i="11"/>
  <c r="E101" i="11"/>
  <c r="E93" i="11"/>
  <c r="E94" i="11"/>
  <c r="E102" i="11"/>
  <c r="E97" i="11"/>
  <c r="E88" i="11"/>
  <c r="E79" i="11"/>
  <c r="E82" i="11"/>
  <c r="E80" i="11"/>
  <c r="E96" i="11"/>
  <c r="E84" i="11"/>
  <c r="D88" i="10"/>
  <c r="D90" i="10"/>
  <c r="D96" i="10"/>
  <c r="D83" i="10"/>
  <c r="D91" i="10"/>
  <c r="D97" i="10"/>
  <c r="D85" i="10"/>
  <c r="D87" i="10"/>
  <c r="D98" i="10"/>
  <c r="D102" i="10"/>
  <c r="D103" i="10"/>
  <c r="D104" i="10"/>
  <c r="D105" i="10"/>
  <c r="D82" i="10"/>
  <c r="D89" i="10"/>
  <c r="D93" i="10"/>
  <c r="D91" i="15"/>
  <c r="D86" i="15"/>
  <c r="D83" i="15"/>
  <c r="D96" i="15"/>
  <c r="D89" i="15"/>
  <c r="D94" i="15"/>
  <c r="D88" i="15"/>
  <c r="D93" i="15"/>
  <c r="D84" i="15"/>
  <c r="D102" i="15"/>
  <c r="D97" i="15"/>
  <c r="D99" i="15"/>
  <c r="D85" i="15"/>
  <c r="D82" i="15"/>
  <c r="D97" i="11"/>
  <c r="D100" i="11"/>
  <c r="D81" i="11"/>
  <c r="D80" i="11"/>
  <c r="D96" i="11"/>
  <c r="D91" i="11"/>
  <c r="D84" i="11"/>
  <c r="D88" i="11"/>
  <c r="D98" i="11"/>
  <c r="D86" i="11"/>
  <c r="E65" i="4"/>
  <c r="D65" i="4"/>
  <c r="C65" i="4"/>
  <c r="D39" i="4"/>
  <c r="K11" i="10" s="1"/>
  <c r="K30" i="10" s="1"/>
  <c r="L30" i="6"/>
  <c r="J30" i="6"/>
  <c r="M30" i="6"/>
  <c r="F30" i="6"/>
  <c r="G30" i="12"/>
  <c r="L30" i="12"/>
  <c r="D30" i="12"/>
  <c r="F30" i="12"/>
  <c r="C30" i="12"/>
  <c r="J30" i="12"/>
  <c r="H30" i="12"/>
  <c r="M30" i="12"/>
  <c r="I30" i="12"/>
  <c r="N30" i="12"/>
  <c r="E30" i="12"/>
  <c r="I30" i="10"/>
  <c r="J30" i="10"/>
  <c r="E30" i="10"/>
  <c r="E30" i="6"/>
  <c r="H30" i="6"/>
  <c r="C30" i="6"/>
  <c r="I30" i="6"/>
  <c r="N30" i="6"/>
  <c r="G30" i="6"/>
  <c r="D30" i="6"/>
  <c r="G30" i="10" l="1"/>
  <c r="D89" i="11"/>
  <c r="H30" i="10"/>
  <c r="L30" i="10"/>
  <c r="D101" i="11"/>
  <c r="C30" i="10"/>
  <c r="D90" i="11"/>
  <c r="D82" i="11"/>
  <c r="D87" i="15"/>
  <c r="M30" i="10"/>
  <c r="D30" i="10"/>
  <c r="D85" i="11"/>
  <c r="D87" i="11"/>
  <c r="D92" i="11"/>
  <c r="D102" i="11"/>
  <c r="F30" i="10"/>
  <c r="D99" i="11"/>
  <c r="D94" i="11"/>
  <c r="D95" i="11"/>
  <c r="N30" i="10"/>
  <c r="E80" i="15"/>
  <c r="E79" i="15"/>
  <c r="D101" i="15"/>
  <c r="D101" i="10"/>
  <c r="F90" i="11"/>
  <c r="D104" i="15"/>
  <c r="D103" i="15"/>
  <c r="D100" i="10"/>
  <c r="D83" i="11"/>
  <c r="D92" i="15"/>
  <c r="D99" i="10"/>
  <c r="E95" i="11"/>
  <c r="E83" i="11"/>
  <c r="E103" i="10"/>
  <c r="E90" i="10"/>
  <c r="E77" i="15"/>
  <c r="F87" i="11"/>
  <c r="F95" i="11"/>
  <c r="F100" i="11"/>
  <c r="D95" i="15"/>
  <c r="D94" i="10"/>
  <c r="D90" i="15"/>
  <c r="D95" i="10"/>
  <c r="D92" i="10"/>
  <c r="D93" i="11"/>
  <c r="D100" i="15"/>
  <c r="D86" i="10"/>
  <c r="D76" i="14"/>
  <c r="F85" i="15"/>
  <c r="F87" i="10"/>
  <c r="F83" i="10"/>
  <c r="E118" i="10"/>
  <c r="E26" i="10"/>
  <c r="F91" i="10"/>
  <c r="F97" i="15"/>
  <c r="E76" i="14"/>
  <c r="M79" i="15"/>
  <c r="M78" i="15"/>
  <c r="I83" i="14"/>
  <c r="I97" i="14"/>
  <c r="I100" i="14"/>
  <c r="J86" i="7"/>
  <c r="J79" i="7"/>
  <c r="J87" i="7"/>
  <c r="J96" i="7"/>
  <c r="J102" i="7"/>
  <c r="H75" i="14"/>
  <c r="I98" i="14"/>
  <c r="I90" i="14"/>
  <c r="J93" i="7"/>
  <c r="J83" i="15"/>
  <c r="H54" i="14"/>
  <c r="I86" i="14"/>
  <c r="I88" i="14"/>
  <c r="G76" i="14"/>
  <c r="I85" i="14"/>
  <c r="L83" i="6"/>
  <c r="I105" i="14"/>
  <c r="L78" i="10"/>
  <c r="J85" i="7"/>
  <c r="L86" i="6"/>
  <c r="L93" i="6"/>
  <c r="I73" i="7"/>
  <c r="I26" i="7"/>
  <c r="M21" i="10"/>
  <c r="J79" i="6"/>
  <c r="J76" i="6"/>
  <c r="J84" i="7"/>
  <c r="J81" i="7"/>
  <c r="L102" i="6"/>
  <c r="L22" i="14"/>
  <c r="J22" i="14"/>
  <c r="J23" i="14"/>
  <c r="G21" i="7"/>
  <c r="H22" i="7"/>
  <c r="J91" i="7"/>
  <c r="J82" i="7"/>
  <c r="J101" i="7"/>
  <c r="L101" i="6"/>
  <c r="C63" i="7"/>
  <c r="E64" i="7"/>
  <c r="C64" i="7"/>
  <c r="C21" i="7"/>
  <c r="D16" i="7"/>
  <c r="L100" i="6"/>
  <c r="I22" i="6"/>
  <c r="H21" i="6"/>
  <c r="L23" i="10"/>
  <c r="J89" i="7"/>
  <c r="J90" i="7"/>
  <c r="L92" i="6"/>
  <c r="I72" i="7"/>
  <c r="J83" i="7"/>
  <c r="L84" i="6"/>
  <c r="L85" i="6"/>
  <c r="J118" i="6"/>
  <c r="I61" i="11"/>
  <c r="N84" i="13"/>
  <c r="N85" i="13"/>
  <c r="N96" i="12"/>
  <c r="N98" i="14"/>
  <c r="N84" i="12"/>
  <c r="N83" i="12"/>
  <c r="C86" i="11"/>
  <c r="C91" i="14"/>
  <c r="C103" i="14"/>
  <c r="C93" i="11"/>
  <c r="N79" i="6"/>
  <c r="C35" i="9"/>
  <c r="E71" i="10"/>
  <c r="C71" i="10"/>
  <c r="C72" i="10" s="1"/>
  <c r="N94" i="10"/>
  <c r="N103" i="10"/>
  <c r="N96" i="10"/>
  <c r="C98" i="11"/>
  <c r="C96" i="11"/>
  <c r="C81" i="11"/>
  <c r="C85" i="11"/>
  <c r="C84" i="11"/>
  <c r="C6" i="19"/>
  <c r="K76" i="15"/>
  <c r="K26" i="15"/>
  <c r="N93" i="10"/>
  <c r="N82" i="14"/>
  <c r="N105" i="14"/>
  <c r="C100" i="10"/>
  <c r="C88" i="10"/>
  <c r="C82" i="10"/>
  <c r="C68" i="14"/>
  <c r="E66" i="14"/>
  <c r="E67" i="14"/>
  <c r="J61" i="11"/>
  <c r="N86" i="12"/>
  <c r="N89" i="10"/>
  <c r="N105" i="10"/>
  <c r="C90" i="10"/>
  <c r="N54" i="6"/>
  <c r="C87" i="14"/>
  <c r="D7" i="8"/>
  <c r="D93" i="4"/>
  <c r="K23" i="10"/>
  <c r="K22" i="10"/>
  <c r="M61" i="11"/>
  <c r="N98" i="13"/>
  <c r="N104" i="12"/>
  <c r="N91" i="10"/>
  <c r="N87" i="10"/>
  <c r="N95" i="10"/>
  <c r="C94" i="10"/>
  <c r="C95" i="10"/>
  <c r="C83" i="14"/>
  <c r="E7" i="8"/>
  <c r="E93" i="4"/>
  <c r="L79" i="6"/>
  <c r="L95" i="6" s="1"/>
  <c r="N94" i="13"/>
  <c r="N103" i="12"/>
  <c r="N87" i="14"/>
  <c r="N86" i="10"/>
  <c r="N85" i="10"/>
  <c r="C93" i="10"/>
  <c r="C89" i="14"/>
  <c r="C90" i="14"/>
  <c r="C98" i="10"/>
  <c r="C99" i="10"/>
  <c r="N118" i="6"/>
  <c r="C91" i="11"/>
  <c r="N26" i="11"/>
  <c r="N51" i="11"/>
  <c r="C91" i="15"/>
  <c r="C100" i="15"/>
  <c r="C84" i="15"/>
  <c r="N17" i="10"/>
  <c r="N18" i="10"/>
  <c r="N101" i="13"/>
  <c r="N99" i="12"/>
  <c r="N86" i="14"/>
  <c r="N97" i="14"/>
  <c r="N104" i="14"/>
  <c r="C89" i="10"/>
  <c r="C82" i="14"/>
  <c r="C102" i="10"/>
  <c r="C103" i="10"/>
  <c r="N26" i="15"/>
  <c r="N75" i="6"/>
  <c r="C97" i="6"/>
  <c r="C82" i="6"/>
  <c r="C83" i="6"/>
  <c r="C86" i="13"/>
  <c r="C90" i="13"/>
  <c r="C89" i="16"/>
  <c r="C90" i="16"/>
  <c r="N97" i="13"/>
  <c r="N95" i="12"/>
  <c r="N100" i="14"/>
  <c r="N101" i="10"/>
  <c r="C84" i="10"/>
  <c r="C85" i="14"/>
  <c r="N77" i="6"/>
  <c r="N80" i="6"/>
  <c r="N78" i="15"/>
  <c r="C21" i="4"/>
  <c r="C19" i="4"/>
  <c r="C94" i="4" s="1"/>
  <c r="C20" i="4"/>
  <c r="D40" i="9"/>
  <c r="D15" i="9"/>
  <c r="D24" i="9" s="1"/>
  <c r="D18" i="9"/>
  <c r="D27" i="9" s="1"/>
  <c r="D34" i="9"/>
  <c r="D37" i="9" s="1"/>
  <c r="C79" i="13"/>
  <c r="C95" i="13"/>
  <c r="C96" i="13"/>
  <c r="D13" i="9"/>
  <c r="F18" i="9"/>
  <c r="N51" i="7"/>
  <c r="N73" i="7"/>
  <c r="N85" i="7" s="1"/>
  <c r="C84" i="13"/>
  <c r="F15" i="9"/>
  <c r="F34" i="9"/>
  <c r="N100" i="13"/>
  <c r="N100" i="12"/>
  <c r="N85" i="12"/>
  <c r="N93" i="12"/>
  <c r="N82" i="10"/>
  <c r="N98" i="10"/>
  <c r="N84" i="10"/>
  <c r="C104" i="14"/>
  <c r="C105" i="14"/>
  <c r="C88" i="11"/>
  <c r="C92" i="14"/>
  <c r="K23" i="14"/>
  <c r="K22" i="14"/>
  <c r="D21" i="4"/>
  <c r="D20" i="4"/>
  <c r="D19" i="4"/>
  <c r="N95" i="13"/>
  <c r="N96" i="13"/>
  <c r="N98" i="12"/>
  <c r="N105" i="12"/>
  <c r="N89" i="12"/>
  <c r="N92" i="10"/>
  <c r="N97" i="10"/>
  <c r="C101" i="10"/>
  <c r="C91" i="10"/>
  <c r="C61" i="7"/>
  <c r="C66" i="14"/>
  <c r="N87" i="13"/>
  <c r="N92" i="13"/>
  <c r="N90" i="12"/>
  <c r="C79" i="11"/>
  <c r="N79" i="13"/>
  <c r="N88" i="13"/>
  <c r="N82" i="12"/>
  <c r="N97" i="12"/>
  <c r="N103" i="14"/>
  <c r="C90" i="11"/>
  <c r="C90" i="6"/>
  <c r="C91" i="7"/>
  <c r="C94" i="6"/>
  <c r="C83" i="11"/>
  <c r="C100" i="7"/>
  <c r="C95" i="14"/>
  <c r="C102" i="14"/>
  <c r="D44" i="4"/>
  <c r="E40" i="9"/>
  <c r="N17" i="16"/>
  <c r="E16" i="4"/>
  <c r="E67" i="15"/>
  <c r="E32" i="9"/>
  <c r="E31" i="9" s="1"/>
  <c r="E13" i="9" s="1"/>
  <c r="E67" i="10"/>
  <c r="E44" i="4"/>
  <c r="G15" i="9"/>
  <c r="G18" i="9"/>
  <c r="E68" i="6"/>
  <c r="F36" i="9"/>
  <c r="G36" i="9" s="1"/>
  <c r="G37" i="9" s="1"/>
  <c r="N16" i="12"/>
  <c r="E66" i="15"/>
  <c r="E66" i="10"/>
  <c r="B20" i="9"/>
  <c r="C40" i="9"/>
  <c r="E21" i="9"/>
  <c r="E20" i="9" s="1"/>
  <c r="E68" i="14"/>
  <c r="C31" i="9"/>
  <c r="E67" i="6"/>
  <c r="N14" i="16"/>
  <c r="E7" i="4"/>
  <c r="E17" i="4" s="1"/>
  <c r="G40" i="9"/>
  <c r="E66" i="6"/>
  <c r="N79" i="16"/>
  <c r="N102" i="16" s="1"/>
  <c r="K15" i="12"/>
  <c r="C71" i="15"/>
  <c r="C72" i="15" s="1"/>
  <c r="N18" i="15"/>
  <c r="C68" i="10"/>
  <c r="C75" i="4"/>
  <c r="K22" i="6"/>
  <c r="F31" i="9"/>
  <c r="G31" i="9"/>
  <c r="G13" i="9" s="1"/>
  <c r="C67" i="10"/>
  <c r="C100" i="12"/>
  <c r="K61" i="7"/>
  <c r="C98" i="7"/>
  <c r="N26" i="14"/>
  <c r="C85" i="7"/>
  <c r="B18" i="9"/>
  <c r="E18" i="9"/>
  <c r="K23" i="6"/>
  <c r="F32" i="9"/>
  <c r="G32" i="9"/>
  <c r="C67" i="15"/>
  <c r="K23" i="15"/>
  <c r="C66" i="10"/>
  <c r="N14" i="10"/>
  <c r="C67" i="14"/>
  <c r="B36" i="9"/>
  <c r="C36" i="9" s="1"/>
  <c r="E6" i="4"/>
  <c r="K15" i="10"/>
  <c r="D21" i="9"/>
  <c r="D20" i="9" s="1"/>
  <c r="E12" i="4"/>
  <c r="B40" i="9"/>
  <c r="G39" i="9"/>
  <c r="G20" i="9" s="1"/>
  <c r="F40" i="9"/>
  <c r="C70" i="4"/>
  <c r="E22" i="9" l="1"/>
  <c r="E30" i="9" s="1"/>
  <c r="E28" i="9"/>
  <c r="E14" i="9"/>
  <c r="D112" i="4"/>
  <c r="E24" i="9"/>
  <c r="E19" i="4"/>
  <c r="E94" i="4" s="1"/>
  <c r="E20" i="4"/>
  <c r="E21" i="4"/>
  <c r="C7" i="14"/>
  <c r="G28" i="9"/>
  <c r="G14" i="9"/>
  <c r="E112" i="4"/>
  <c r="G22" i="9"/>
  <c r="G30" i="9" s="1"/>
  <c r="G29" i="9"/>
  <c r="E6" i="8"/>
  <c r="E6" i="19"/>
  <c r="G21" i="6"/>
  <c r="H22" i="6"/>
  <c r="H23" i="6"/>
  <c r="J76" i="14"/>
  <c r="J54" i="14"/>
  <c r="J26" i="14"/>
  <c r="J118" i="14"/>
  <c r="J75" i="14"/>
  <c r="I76" i="6"/>
  <c r="I77" i="6"/>
  <c r="I75" i="6"/>
  <c r="I118" i="6"/>
  <c r="I78" i="6"/>
  <c r="I54" i="6"/>
  <c r="I79" i="6"/>
  <c r="I26" i="6"/>
  <c r="I80" i="6"/>
  <c r="I81" i="6"/>
  <c r="L76" i="14"/>
  <c r="L118" i="14"/>
  <c r="L54" i="14"/>
  <c r="L26" i="14"/>
  <c r="L75" i="14"/>
  <c r="I76" i="7"/>
  <c r="I74" i="7"/>
  <c r="I77" i="7"/>
  <c r="I78" i="7"/>
  <c r="I75" i="7"/>
  <c r="M102" i="15"/>
  <c r="M97" i="15"/>
  <c r="M100" i="15"/>
  <c r="M104" i="15"/>
  <c r="M87" i="15"/>
  <c r="M85" i="15"/>
  <c r="M99" i="15"/>
  <c r="M84" i="15"/>
  <c r="M93" i="15"/>
  <c r="M83" i="15"/>
  <c r="M82" i="15"/>
  <c r="M98" i="15"/>
  <c r="M96" i="15"/>
  <c r="M90" i="15"/>
  <c r="M103" i="15"/>
  <c r="M91" i="15"/>
  <c r="M92" i="15"/>
  <c r="M95" i="15"/>
  <c r="M105" i="15"/>
  <c r="M94" i="15"/>
  <c r="M86" i="15"/>
  <c r="M88" i="15"/>
  <c r="M101" i="15"/>
  <c r="M89" i="15"/>
  <c r="N93" i="7"/>
  <c r="N89" i="7"/>
  <c r="D94" i="4"/>
  <c r="D6" i="8"/>
  <c r="D6" i="19"/>
  <c r="B37" i="9"/>
  <c r="B13" i="9" s="1"/>
  <c r="C23" i="7"/>
  <c r="C7" i="6"/>
  <c r="C22" i="4"/>
  <c r="C26" i="4"/>
  <c r="N89" i="16"/>
  <c r="C34" i="4"/>
  <c r="C25" i="4"/>
  <c r="C7" i="7"/>
  <c r="C23" i="4"/>
  <c r="C27" i="4"/>
  <c r="N99" i="7"/>
  <c r="N93" i="16"/>
  <c r="C37" i="9"/>
  <c r="E80" i="14"/>
  <c r="E77" i="14"/>
  <c r="E81" i="14"/>
  <c r="E79" i="14"/>
  <c r="E78" i="14"/>
  <c r="C18" i="6"/>
  <c r="C18" i="14"/>
  <c r="C18" i="7"/>
  <c r="G27" i="9"/>
  <c r="N91" i="7"/>
  <c r="N94" i="7"/>
  <c r="N99" i="15"/>
  <c r="N91" i="15"/>
  <c r="N94" i="15"/>
  <c r="N104" i="15"/>
  <c r="N95" i="15"/>
  <c r="N88" i="15"/>
  <c r="N102" i="15"/>
  <c r="N103" i="15"/>
  <c r="N98" i="15"/>
  <c r="N82" i="15"/>
  <c r="N84" i="15"/>
  <c r="N90" i="15"/>
  <c r="N100" i="15"/>
  <c r="N105" i="15"/>
  <c r="N87" i="15"/>
  <c r="N86" i="15"/>
  <c r="N83" i="15"/>
  <c r="N93" i="15"/>
  <c r="N89" i="15"/>
  <c r="N96" i="15"/>
  <c r="N97" i="15"/>
  <c r="N101" i="15"/>
  <c r="N92" i="15"/>
  <c r="N18" i="12"/>
  <c r="N17" i="12"/>
  <c r="G24" i="9"/>
  <c r="D22" i="9"/>
  <c r="D30" i="9" s="1"/>
  <c r="D28" i="9"/>
  <c r="D14" i="9"/>
  <c r="N90" i="6"/>
  <c r="N91" i="6"/>
  <c r="N98" i="6"/>
  <c r="N82" i="6"/>
  <c r="N88" i="6"/>
  <c r="N100" i="6"/>
  <c r="N84" i="6"/>
  <c r="N94" i="6"/>
  <c r="N92" i="6"/>
  <c r="N96" i="6"/>
  <c r="N87" i="6"/>
  <c r="N99" i="6"/>
  <c r="N102" i="6"/>
  <c r="N85" i="6"/>
  <c r="N105" i="6"/>
  <c r="N83" i="6"/>
  <c r="N97" i="6"/>
  <c r="N101" i="6"/>
  <c r="N86" i="6"/>
  <c r="N95" i="6"/>
  <c r="N103" i="6"/>
  <c r="N104" i="6"/>
  <c r="N94" i="16"/>
  <c r="J94" i="6"/>
  <c r="J92" i="6"/>
  <c r="J88" i="6"/>
  <c r="J96" i="6"/>
  <c r="J85" i="6"/>
  <c r="J100" i="6"/>
  <c r="J97" i="6"/>
  <c r="J102" i="6"/>
  <c r="J82" i="6"/>
  <c r="J103" i="6"/>
  <c r="J95" i="6"/>
  <c r="J83" i="6"/>
  <c r="J90" i="6"/>
  <c r="J105" i="6"/>
  <c r="J98" i="6"/>
  <c r="J101" i="6"/>
  <c r="J86" i="6"/>
  <c r="J84" i="6"/>
  <c r="J91" i="6"/>
  <c r="J87" i="6"/>
  <c r="J89" i="6"/>
  <c r="J104" i="6"/>
  <c r="J99" i="6"/>
  <c r="J93" i="6"/>
  <c r="L84" i="10"/>
  <c r="L90" i="10"/>
  <c r="L93" i="10"/>
  <c r="L86" i="10"/>
  <c r="L83" i="10"/>
  <c r="L103" i="10"/>
  <c r="L99" i="10"/>
  <c r="L94" i="10"/>
  <c r="L91" i="10"/>
  <c r="L95" i="10"/>
  <c r="L96" i="10"/>
  <c r="L85" i="10"/>
  <c r="L101" i="10"/>
  <c r="L87" i="10"/>
  <c r="L102" i="10"/>
  <c r="L88" i="10"/>
  <c r="L100" i="10"/>
  <c r="L97" i="10"/>
  <c r="L92" i="10"/>
  <c r="L98" i="10"/>
  <c r="L89" i="10"/>
  <c r="L82" i="10"/>
  <c r="L105" i="10"/>
  <c r="L104" i="10"/>
  <c r="N96" i="16"/>
  <c r="M22" i="10"/>
  <c r="M23" i="10"/>
  <c r="N84" i="7"/>
  <c r="N98" i="16"/>
  <c r="N89" i="6"/>
  <c r="C7" i="10"/>
  <c r="D26" i="4"/>
  <c r="D22" i="4"/>
  <c r="N95" i="7"/>
  <c r="N80" i="7"/>
  <c r="N101" i="7"/>
  <c r="N99" i="16"/>
  <c r="N93" i="6"/>
  <c r="K81" i="6"/>
  <c r="K80" i="6"/>
  <c r="K79" i="6"/>
  <c r="K78" i="6"/>
  <c r="K77" i="6"/>
  <c r="K76" i="6"/>
  <c r="K26" i="6"/>
  <c r="K118" i="6"/>
  <c r="K54" i="6"/>
  <c r="K75" i="6"/>
  <c r="N92" i="7"/>
  <c r="N100" i="7"/>
  <c r="N85" i="16"/>
  <c r="E94" i="15"/>
  <c r="E89" i="15"/>
  <c r="E88" i="15"/>
  <c r="E92" i="15"/>
  <c r="E101" i="15"/>
  <c r="E98" i="15"/>
  <c r="E85" i="15"/>
  <c r="E86" i="15"/>
  <c r="E83" i="15"/>
  <c r="E105" i="15"/>
  <c r="E97" i="15"/>
  <c r="E87" i="15"/>
  <c r="E93" i="15"/>
  <c r="E99" i="15"/>
  <c r="E91" i="15"/>
  <c r="E100" i="15"/>
  <c r="E82" i="15"/>
  <c r="E104" i="15"/>
  <c r="E95" i="15"/>
  <c r="E103" i="15"/>
  <c r="E96" i="15"/>
  <c r="E84" i="15"/>
  <c r="E102" i="15"/>
  <c r="E90" i="15"/>
  <c r="C13" i="9"/>
  <c r="L90" i="6"/>
  <c r="L103" i="6"/>
  <c r="C4" i="12"/>
  <c r="C4" i="16"/>
  <c r="C4" i="13"/>
  <c r="E9" i="4"/>
  <c r="E36" i="4"/>
  <c r="C5" i="12"/>
  <c r="C5" i="16"/>
  <c r="C5" i="13"/>
  <c r="D34" i="4"/>
  <c r="D25" i="4"/>
  <c r="C7" i="11"/>
  <c r="D23" i="4"/>
  <c r="D27" i="4"/>
  <c r="E27" i="9"/>
  <c r="E29" i="9"/>
  <c r="N85" i="15"/>
  <c r="N97" i="7"/>
  <c r="H73" i="7"/>
  <c r="H115" i="7"/>
  <c r="H51" i="7"/>
  <c r="H26" i="7"/>
  <c r="H72" i="7"/>
  <c r="L88" i="6"/>
  <c r="N100" i="16"/>
  <c r="N104" i="16"/>
  <c r="N84" i="16"/>
  <c r="N83" i="16"/>
  <c r="N88" i="16"/>
  <c r="N82" i="16"/>
  <c r="N101" i="16"/>
  <c r="N105" i="16"/>
  <c r="N90" i="16"/>
  <c r="N87" i="16"/>
  <c r="N91" i="16"/>
  <c r="N95" i="16"/>
  <c r="N103" i="16"/>
  <c r="N97" i="16"/>
  <c r="N86" i="7"/>
  <c r="N98" i="7"/>
  <c r="N83" i="7"/>
  <c r="N90" i="7"/>
  <c r="N88" i="7"/>
  <c r="N79" i="7"/>
  <c r="N96" i="7"/>
  <c r="N81" i="7"/>
  <c r="E70" i="4"/>
  <c r="E10" i="4"/>
  <c r="C6" i="13"/>
  <c r="D29" i="9"/>
  <c r="B27" i="9"/>
  <c r="N92" i="16"/>
  <c r="K26" i="14"/>
  <c r="K76" i="14"/>
  <c r="K118" i="14"/>
  <c r="K75" i="14"/>
  <c r="K54" i="14"/>
  <c r="N102" i="7"/>
  <c r="K81" i="15"/>
  <c r="K80" i="15"/>
  <c r="K79" i="15"/>
  <c r="K78" i="15"/>
  <c r="K77" i="15"/>
  <c r="F21" i="7"/>
  <c r="G22" i="7"/>
  <c r="G23" i="7"/>
  <c r="G79" i="14"/>
  <c r="G77" i="14"/>
  <c r="G81" i="14"/>
  <c r="G80" i="14"/>
  <c r="G78" i="14"/>
  <c r="F37" i="9"/>
  <c r="F13" i="9" s="1"/>
  <c r="N86" i="16"/>
  <c r="L94" i="6"/>
  <c r="L96" i="6"/>
  <c r="L97" i="6"/>
  <c r="L104" i="6"/>
  <c r="L105" i="6"/>
  <c r="L91" i="6"/>
  <c r="L82" i="6"/>
  <c r="L87" i="6"/>
  <c r="L89" i="6"/>
  <c r="L98" i="6"/>
  <c r="L99" i="6"/>
  <c r="K81" i="10"/>
  <c r="K80" i="10"/>
  <c r="K79" i="10"/>
  <c r="K78" i="10"/>
  <c r="K77" i="10"/>
  <c r="K76" i="10"/>
  <c r="K26" i="10"/>
  <c r="K75" i="10"/>
  <c r="K118" i="10"/>
  <c r="K54" i="10"/>
  <c r="N87" i="7"/>
  <c r="N82" i="7"/>
  <c r="D80" i="14"/>
  <c r="D78" i="14"/>
  <c r="D77" i="14"/>
  <c r="D81" i="14"/>
  <c r="D79" i="14"/>
  <c r="C7" i="16" l="1"/>
  <c r="E71" i="6"/>
  <c r="C71" i="6"/>
  <c r="C72" i="6" s="1"/>
  <c r="E12" i="19"/>
  <c r="E13" i="19"/>
  <c r="E16" i="19"/>
  <c r="E17" i="19"/>
  <c r="E11" i="19"/>
  <c r="E14" i="19"/>
  <c r="E15" i="19"/>
  <c r="K89" i="6"/>
  <c r="K93" i="6"/>
  <c r="B28" i="9"/>
  <c r="B22" i="9"/>
  <c r="B30" i="9" s="1"/>
  <c r="B24" i="9"/>
  <c r="B14" i="9"/>
  <c r="F28" i="9"/>
  <c r="F14" i="9"/>
  <c r="F29" i="9"/>
  <c r="F22" i="9"/>
  <c r="F30" i="9" s="1"/>
  <c r="K89" i="10"/>
  <c r="K93" i="10"/>
  <c r="E89" i="14"/>
  <c r="E93" i="14"/>
  <c r="I89" i="6"/>
  <c r="I93" i="6"/>
  <c r="J81" i="14"/>
  <c r="J77" i="14"/>
  <c r="J78" i="14"/>
  <c r="J80" i="14"/>
  <c r="J79" i="14"/>
  <c r="I23" i="12"/>
  <c r="L22" i="12"/>
  <c r="I22" i="12"/>
  <c r="L23" i="12"/>
  <c r="N21" i="12"/>
  <c r="D16" i="12"/>
  <c r="C21" i="12"/>
  <c r="M22" i="12"/>
  <c r="H22" i="12"/>
  <c r="H23" i="12"/>
  <c r="G22" i="12"/>
  <c r="G23" i="12"/>
  <c r="F23" i="12"/>
  <c r="F22" i="12"/>
  <c r="E23" i="12"/>
  <c r="E22" i="12"/>
  <c r="D22" i="12"/>
  <c r="D23" i="12"/>
  <c r="M23" i="12"/>
  <c r="J22" i="12"/>
  <c r="J23" i="12"/>
  <c r="K23" i="12"/>
  <c r="K22" i="12"/>
  <c r="K28" i="6"/>
  <c r="I28" i="6"/>
  <c r="N28" i="6"/>
  <c r="C28" i="6"/>
  <c r="E28" i="6"/>
  <c r="F28" i="6"/>
  <c r="J28" i="6"/>
  <c r="G28" i="6"/>
  <c r="D28" i="6"/>
  <c r="H28" i="6"/>
  <c r="M28" i="6"/>
  <c r="L28" i="6"/>
  <c r="C13" i="6"/>
  <c r="I86" i="7"/>
  <c r="I90" i="7"/>
  <c r="I86" i="6"/>
  <c r="I85" i="6"/>
  <c r="I91" i="6"/>
  <c r="I92" i="6"/>
  <c r="I94" i="6"/>
  <c r="I82" i="6"/>
  <c r="I95" i="6"/>
  <c r="I96" i="6"/>
  <c r="I97" i="6"/>
  <c r="I98" i="6"/>
  <c r="I99" i="6"/>
  <c r="I100" i="6"/>
  <c r="I101" i="6"/>
  <c r="I102" i="6"/>
  <c r="I103" i="6"/>
  <c r="I104" i="6"/>
  <c r="I84" i="6"/>
  <c r="I105" i="6"/>
  <c r="I88" i="6"/>
  <c r="I87" i="6"/>
  <c r="I90" i="6"/>
  <c r="I83" i="6"/>
  <c r="K87" i="10"/>
  <c r="K88" i="10"/>
  <c r="K91" i="10"/>
  <c r="K92" i="10"/>
  <c r="K83" i="10"/>
  <c r="K84" i="10"/>
  <c r="K85" i="10"/>
  <c r="K102" i="10"/>
  <c r="K86" i="10"/>
  <c r="K99" i="10"/>
  <c r="K105" i="10"/>
  <c r="K94" i="10"/>
  <c r="K101" i="10"/>
  <c r="K103" i="10"/>
  <c r="K82" i="10"/>
  <c r="K90" i="10"/>
  <c r="K104" i="10"/>
  <c r="K100" i="10"/>
  <c r="K97" i="10"/>
  <c r="K98" i="10"/>
  <c r="K96" i="10"/>
  <c r="K95" i="10"/>
  <c r="E97" i="14"/>
  <c r="E82" i="14"/>
  <c r="E101" i="14"/>
  <c r="E96" i="14"/>
  <c r="E83" i="14"/>
  <c r="E85" i="14"/>
  <c r="E88" i="14"/>
  <c r="E90" i="14"/>
  <c r="E91" i="14"/>
  <c r="E94" i="14"/>
  <c r="E102" i="14"/>
  <c r="E103" i="14"/>
  <c r="E104" i="14"/>
  <c r="E105" i="14"/>
  <c r="E92" i="14"/>
  <c r="E95" i="14"/>
  <c r="E99" i="14"/>
  <c r="E86" i="14"/>
  <c r="E98" i="14"/>
  <c r="E100" i="14"/>
  <c r="E87" i="14"/>
  <c r="E84" i="14"/>
  <c r="I84" i="7"/>
  <c r="I81" i="7"/>
  <c r="I101" i="7"/>
  <c r="I80" i="7"/>
  <c r="I98" i="7"/>
  <c r="I97" i="7"/>
  <c r="I92" i="7"/>
  <c r="I94" i="7"/>
  <c r="I95" i="7"/>
  <c r="I83" i="7"/>
  <c r="I100" i="7"/>
  <c r="I91" i="7"/>
  <c r="I87" i="7"/>
  <c r="I88" i="7"/>
  <c r="I102" i="7"/>
  <c r="I99" i="7"/>
  <c r="I85" i="7"/>
  <c r="I96" i="7"/>
  <c r="I93" i="7"/>
  <c r="I82" i="7"/>
  <c r="I79" i="7"/>
  <c r="I89" i="7"/>
  <c r="K91" i="6"/>
  <c r="K92" i="6"/>
  <c r="K83" i="6"/>
  <c r="K84" i="6"/>
  <c r="K85" i="6"/>
  <c r="K87" i="6"/>
  <c r="K88" i="6"/>
  <c r="K105" i="6"/>
  <c r="K104" i="6"/>
  <c r="K99" i="6"/>
  <c r="K96" i="6"/>
  <c r="K82" i="6"/>
  <c r="K103" i="6"/>
  <c r="K98" i="6"/>
  <c r="K100" i="6"/>
  <c r="K94" i="6"/>
  <c r="K97" i="6"/>
  <c r="K95" i="6"/>
  <c r="K101" i="6"/>
  <c r="K102" i="6"/>
  <c r="K90" i="6"/>
  <c r="K86" i="6"/>
  <c r="C7" i="15"/>
  <c r="K28" i="14"/>
  <c r="H28" i="14"/>
  <c r="M28" i="14"/>
  <c r="D28" i="14"/>
  <c r="J28" i="14"/>
  <c r="C28" i="14"/>
  <c r="G28" i="14"/>
  <c r="L28" i="14"/>
  <c r="I28" i="14"/>
  <c r="N28" i="14"/>
  <c r="E28" i="14"/>
  <c r="F28" i="14"/>
  <c r="C13" i="14"/>
  <c r="F22" i="7"/>
  <c r="F23" i="7"/>
  <c r="E21" i="7"/>
  <c r="E28" i="11"/>
  <c r="L28" i="11"/>
  <c r="C13" i="11"/>
  <c r="F28" i="11"/>
  <c r="M28" i="11"/>
  <c r="D28" i="11"/>
  <c r="K28" i="11"/>
  <c r="C11" i="11"/>
  <c r="H28" i="11"/>
  <c r="I28" i="11"/>
  <c r="J28" i="11"/>
  <c r="C28" i="11"/>
  <c r="G28" i="11"/>
  <c r="N28" i="11"/>
  <c r="H80" i="6"/>
  <c r="H76" i="6"/>
  <c r="H81" i="6"/>
  <c r="H26" i="6"/>
  <c r="H75" i="6"/>
  <c r="H54" i="6"/>
  <c r="H78" i="6"/>
  <c r="H118" i="6"/>
  <c r="H79" i="6"/>
  <c r="H77" i="6"/>
  <c r="D32" i="4"/>
  <c r="D11" i="4" s="1"/>
  <c r="D31" i="4"/>
  <c r="G23" i="6"/>
  <c r="F21" i="6"/>
  <c r="G22" i="6"/>
  <c r="E34" i="4"/>
  <c r="E25" i="4"/>
  <c r="E27" i="4"/>
  <c r="C7" i="13"/>
  <c r="E23" i="4"/>
  <c r="D33" i="4"/>
  <c r="C8" i="10" s="1"/>
  <c r="C9" i="10" s="1"/>
  <c r="C8" i="11"/>
  <c r="C9" i="11" s="1"/>
  <c r="C28" i="9"/>
  <c r="C22" i="9"/>
  <c r="C30" i="9" s="1"/>
  <c r="C112" i="4"/>
  <c r="C14" i="9"/>
  <c r="C27" i="9"/>
  <c r="C29" i="9"/>
  <c r="C24" i="9"/>
  <c r="C7" i="12"/>
  <c r="C13" i="12" s="1"/>
  <c r="E22" i="4"/>
  <c r="E26" i="4"/>
  <c r="K79" i="14"/>
  <c r="K78" i="14"/>
  <c r="K77" i="14"/>
  <c r="K81" i="14"/>
  <c r="K80" i="14"/>
  <c r="G73" i="7"/>
  <c r="G26" i="7"/>
  <c r="G72" i="7"/>
  <c r="G51" i="7"/>
  <c r="G115" i="7"/>
  <c r="J22" i="13"/>
  <c r="N21" i="13"/>
  <c r="J23" i="13"/>
  <c r="D16" i="13"/>
  <c r="C13" i="13"/>
  <c r="C21" i="13"/>
  <c r="G23" i="13"/>
  <c r="E23" i="13"/>
  <c r="F23" i="13"/>
  <c r="E22" i="13"/>
  <c r="D22" i="13"/>
  <c r="D23" i="13"/>
  <c r="H23" i="13"/>
  <c r="H22" i="13"/>
  <c r="F22" i="13"/>
  <c r="I23" i="13"/>
  <c r="G22" i="13"/>
  <c r="I22" i="13"/>
  <c r="K28" i="10"/>
  <c r="F28" i="10"/>
  <c r="I28" i="10"/>
  <c r="J28" i="10"/>
  <c r="C28" i="10"/>
  <c r="L28" i="10"/>
  <c r="E28" i="10"/>
  <c r="D28" i="10"/>
  <c r="G28" i="10"/>
  <c r="H28" i="10"/>
  <c r="N28" i="10"/>
  <c r="M28" i="10"/>
  <c r="C13" i="10"/>
  <c r="C11" i="7"/>
  <c r="F28" i="7"/>
  <c r="M28" i="7"/>
  <c r="C28" i="7"/>
  <c r="I28" i="7"/>
  <c r="G28" i="7"/>
  <c r="N28" i="7"/>
  <c r="D28" i="7"/>
  <c r="K28" i="7"/>
  <c r="H28" i="7"/>
  <c r="J28" i="7"/>
  <c r="E28" i="7"/>
  <c r="L28" i="7"/>
  <c r="C13" i="7"/>
  <c r="C13" i="16"/>
  <c r="D16" i="16"/>
  <c r="C21" i="16"/>
  <c r="N21" i="16"/>
  <c r="I23" i="16"/>
  <c r="J22" i="16"/>
  <c r="I22" i="16"/>
  <c r="M22" i="16"/>
  <c r="J23" i="16"/>
  <c r="M23" i="16"/>
  <c r="H22" i="16"/>
  <c r="H23" i="16"/>
  <c r="F22" i="16"/>
  <c r="F23" i="16"/>
  <c r="G22" i="16"/>
  <c r="G23" i="16"/>
  <c r="E22" i="16"/>
  <c r="E23" i="16"/>
  <c r="D22" i="16"/>
  <c r="D23" i="16"/>
  <c r="K23" i="16"/>
  <c r="K22" i="16"/>
  <c r="L22" i="16"/>
  <c r="L23" i="16"/>
  <c r="K88" i="15"/>
  <c r="K86" i="15"/>
  <c r="K91" i="15"/>
  <c r="K83" i="15"/>
  <c r="K92" i="15"/>
  <c r="K84" i="15"/>
  <c r="K90" i="15"/>
  <c r="K85" i="15"/>
  <c r="K82" i="15"/>
  <c r="K87" i="15"/>
  <c r="K102" i="15"/>
  <c r="K100" i="15"/>
  <c r="K104" i="15"/>
  <c r="K97" i="15"/>
  <c r="K101" i="15"/>
  <c r="K103" i="15"/>
  <c r="K96" i="15"/>
  <c r="K99" i="15"/>
  <c r="K95" i="15"/>
  <c r="K98" i="15"/>
  <c r="K105" i="15"/>
  <c r="K94" i="15"/>
  <c r="D61" i="13"/>
  <c r="M61" i="13"/>
  <c r="C63" i="13"/>
  <c r="E65" i="13"/>
  <c r="F61" i="13"/>
  <c r="H61" i="13"/>
  <c r="K61" i="13"/>
  <c r="N61" i="13"/>
  <c r="C64" i="13"/>
  <c r="D17" i="13"/>
  <c r="E63" i="13"/>
  <c r="E61" i="13"/>
  <c r="L61" i="13"/>
  <c r="E64" i="13"/>
  <c r="J61" i="13"/>
  <c r="C61" i="13"/>
  <c r="G61" i="13"/>
  <c r="I61" i="13"/>
  <c r="C65" i="13"/>
  <c r="B29" i="9"/>
  <c r="D16" i="19"/>
  <c r="D12" i="19"/>
  <c r="D15" i="19"/>
  <c r="D11" i="19"/>
  <c r="D17" i="19"/>
  <c r="D13" i="19"/>
  <c r="D14" i="19"/>
  <c r="M77" i="10"/>
  <c r="M78" i="10"/>
  <c r="M76" i="10"/>
  <c r="M80" i="10"/>
  <c r="M26" i="10"/>
  <c r="M75" i="10"/>
  <c r="M54" i="10"/>
  <c r="M118" i="10"/>
  <c r="M81" i="10"/>
  <c r="M79" i="10"/>
  <c r="K89" i="15"/>
  <c r="K93" i="15"/>
  <c r="C32" i="4"/>
  <c r="C31" i="4"/>
  <c r="C18" i="16"/>
  <c r="C18" i="12"/>
  <c r="C18" i="13"/>
  <c r="C68" i="16"/>
  <c r="E66" i="16"/>
  <c r="E67" i="16"/>
  <c r="E68" i="16"/>
  <c r="C66" i="16"/>
  <c r="C67" i="16"/>
  <c r="E68" i="7"/>
  <c r="C68" i="7"/>
  <c r="C69" i="7" s="1"/>
  <c r="D18" i="7"/>
  <c r="C8" i="7"/>
  <c r="C9" i="7" s="1"/>
  <c r="F24" i="9"/>
  <c r="G93" i="14"/>
  <c r="G89" i="14"/>
  <c r="D95" i="14"/>
  <c r="D99" i="14"/>
  <c r="D98" i="14"/>
  <c r="D88" i="14"/>
  <c r="D87" i="14"/>
  <c r="D90" i="14"/>
  <c r="D100" i="14"/>
  <c r="D97" i="14"/>
  <c r="D86" i="14"/>
  <c r="D101" i="14"/>
  <c r="D96" i="14"/>
  <c r="D94" i="14"/>
  <c r="D85" i="14"/>
  <c r="D102" i="14"/>
  <c r="D82" i="14"/>
  <c r="D103" i="14"/>
  <c r="D104" i="14"/>
  <c r="D105" i="14"/>
  <c r="D83" i="14"/>
  <c r="D91" i="14"/>
  <c r="D84" i="14"/>
  <c r="D92" i="14"/>
  <c r="D89" i="14"/>
  <c r="D93" i="14"/>
  <c r="G98" i="14"/>
  <c r="G84" i="14"/>
  <c r="G88" i="14"/>
  <c r="G90" i="14"/>
  <c r="G97" i="14"/>
  <c r="G101" i="14"/>
  <c r="G83" i="14"/>
  <c r="G104" i="14"/>
  <c r="G85" i="14"/>
  <c r="G91" i="14"/>
  <c r="G92" i="14"/>
  <c r="G94" i="14"/>
  <c r="G95" i="14"/>
  <c r="G103" i="14"/>
  <c r="G99" i="14"/>
  <c r="G102" i="14"/>
  <c r="G82" i="14"/>
  <c r="G105" i="14"/>
  <c r="G87" i="14"/>
  <c r="G86" i="14"/>
  <c r="G96" i="14"/>
  <c r="G100" i="14"/>
  <c r="H75" i="7"/>
  <c r="H77" i="7"/>
  <c r="H78" i="7"/>
  <c r="H76" i="7"/>
  <c r="H74" i="7"/>
  <c r="C67" i="12"/>
  <c r="C68" i="12"/>
  <c r="E66" i="12"/>
  <c r="E67" i="12"/>
  <c r="E68" i="12"/>
  <c r="C66" i="12"/>
  <c r="E71" i="14"/>
  <c r="C71" i="14"/>
  <c r="C72" i="14" s="1"/>
  <c r="F27" i="9"/>
  <c r="L78" i="14"/>
  <c r="L77" i="14"/>
  <c r="L79" i="14"/>
  <c r="L81" i="14"/>
  <c r="L80" i="14"/>
  <c r="I61" i="12" l="1"/>
  <c r="N51" i="12"/>
  <c r="E52" i="12"/>
  <c r="L51" i="12"/>
  <c r="N49" i="12"/>
  <c r="H50" i="12"/>
  <c r="G50" i="12"/>
  <c r="M51" i="12"/>
  <c r="L52" i="12"/>
  <c r="J52" i="12"/>
  <c r="H51" i="12"/>
  <c r="K62" i="12"/>
  <c r="L62" i="12"/>
  <c r="H49" i="12"/>
  <c r="H60" i="12" s="1"/>
  <c r="H63" i="12" s="1"/>
  <c r="J61" i="12"/>
  <c r="K61" i="12"/>
  <c r="E51" i="12"/>
  <c r="F51" i="12"/>
  <c r="K52" i="12"/>
  <c r="K51" i="12"/>
  <c r="C50" i="12"/>
  <c r="K49" i="12"/>
  <c r="F49" i="12"/>
  <c r="G61" i="12"/>
  <c r="D49" i="12"/>
  <c r="D51" i="12"/>
  <c r="F50" i="12"/>
  <c r="M52" i="12"/>
  <c r="N52" i="12"/>
  <c r="I49" i="12"/>
  <c r="I60" i="12" s="1"/>
  <c r="I63" i="12" s="1"/>
  <c r="C62" i="12"/>
  <c r="E49" i="12"/>
  <c r="D61" i="12"/>
  <c r="L49" i="12"/>
  <c r="N61" i="12"/>
  <c r="E61" i="12"/>
  <c r="H52" i="12"/>
  <c r="C61" i="12"/>
  <c r="G51" i="12"/>
  <c r="I62" i="12"/>
  <c r="F61" i="12"/>
  <c r="I51" i="12"/>
  <c r="J50" i="12"/>
  <c r="M62" i="12"/>
  <c r="C52" i="12"/>
  <c r="M61" i="12"/>
  <c r="K50" i="12"/>
  <c r="J62" i="12"/>
  <c r="E50" i="12"/>
  <c r="J49" i="12"/>
  <c r="D13" i="12"/>
  <c r="I50" i="12"/>
  <c r="F52" i="12"/>
  <c r="H61" i="12"/>
  <c r="C51" i="12"/>
  <c r="L50" i="12"/>
  <c r="C49" i="12"/>
  <c r="C60" i="12" s="1"/>
  <c r="L61" i="12"/>
  <c r="M49" i="12"/>
  <c r="M60" i="12" s="1"/>
  <c r="D52" i="12"/>
  <c r="J51" i="12"/>
  <c r="N62" i="12"/>
  <c r="D50" i="12"/>
  <c r="G49" i="12"/>
  <c r="M50" i="12"/>
  <c r="I52" i="12"/>
  <c r="G52" i="12"/>
  <c r="N50" i="12"/>
  <c r="H62" i="12"/>
  <c r="G62" i="12"/>
  <c r="F62" i="12"/>
  <c r="D62" i="12"/>
  <c r="E62" i="12"/>
  <c r="M89" i="10"/>
  <c r="M93" i="10"/>
  <c r="C50" i="10"/>
  <c r="M51" i="10"/>
  <c r="L50" i="10"/>
  <c r="N50" i="10"/>
  <c r="G50" i="10"/>
  <c r="I50" i="10"/>
  <c r="M52" i="10"/>
  <c r="H52" i="10"/>
  <c r="I61" i="10"/>
  <c r="N49" i="10"/>
  <c r="D61" i="10"/>
  <c r="H51" i="10"/>
  <c r="M50" i="10"/>
  <c r="F50" i="10"/>
  <c r="H49" i="10"/>
  <c r="H60" i="10" s="1"/>
  <c r="C62" i="10"/>
  <c r="K49" i="10"/>
  <c r="J49" i="10"/>
  <c r="J60" i="10" s="1"/>
  <c r="J61" i="10"/>
  <c r="C49" i="10"/>
  <c r="C60" i="10" s="1"/>
  <c r="C63" i="10" s="1"/>
  <c r="D51" i="10"/>
  <c r="K61" i="10"/>
  <c r="K51" i="10"/>
  <c r="C52" i="10"/>
  <c r="C51" i="10"/>
  <c r="L62" i="10"/>
  <c r="G52" i="10"/>
  <c r="G49" i="10"/>
  <c r="K52" i="10"/>
  <c r="F52" i="10"/>
  <c r="N61" i="10"/>
  <c r="C61" i="10"/>
  <c r="E49" i="10"/>
  <c r="E60" i="10" s="1"/>
  <c r="F51" i="10"/>
  <c r="L49" i="10"/>
  <c r="L60" i="10" s="1"/>
  <c r="L52" i="10"/>
  <c r="N51" i="10"/>
  <c r="L61" i="10"/>
  <c r="I49" i="10"/>
  <c r="D49" i="10"/>
  <c r="F49" i="10"/>
  <c r="D52" i="10"/>
  <c r="M49" i="10"/>
  <c r="H50" i="10"/>
  <c r="I51" i="10"/>
  <c r="G61" i="10"/>
  <c r="E50" i="10"/>
  <c r="L51" i="10"/>
  <c r="D13" i="10"/>
  <c r="K50" i="10"/>
  <c r="J62" i="10"/>
  <c r="E52" i="10"/>
  <c r="G51" i="10"/>
  <c r="E61" i="10"/>
  <c r="I52" i="10"/>
  <c r="N62" i="10"/>
  <c r="J50" i="10"/>
  <c r="J51" i="10"/>
  <c r="J52" i="10"/>
  <c r="M61" i="10"/>
  <c r="N52" i="10"/>
  <c r="E51" i="10"/>
  <c r="F61" i="10"/>
  <c r="H61" i="10"/>
  <c r="D50" i="10"/>
  <c r="H62" i="10"/>
  <c r="M62" i="10"/>
  <c r="K62" i="10"/>
  <c r="I62" i="10"/>
  <c r="G62" i="10"/>
  <c r="E62" i="10"/>
  <c r="F62" i="10"/>
  <c r="D62" i="10"/>
  <c r="C25" i="9"/>
  <c r="C26" i="9"/>
  <c r="G78" i="6"/>
  <c r="G79" i="6"/>
  <c r="G75" i="6"/>
  <c r="G26" i="6"/>
  <c r="G54" i="6"/>
  <c r="G76" i="6"/>
  <c r="G81" i="6"/>
  <c r="G118" i="6"/>
  <c r="G77" i="6"/>
  <c r="G80" i="6"/>
  <c r="H93" i="6"/>
  <c r="H89" i="6"/>
  <c r="J99" i="14"/>
  <c r="J105" i="14"/>
  <c r="J95" i="14"/>
  <c r="J87" i="14"/>
  <c r="J102" i="14"/>
  <c r="J82" i="14"/>
  <c r="J97" i="14"/>
  <c r="J96" i="14"/>
  <c r="J103" i="14"/>
  <c r="J86" i="14"/>
  <c r="J98" i="14"/>
  <c r="J101" i="14"/>
  <c r="J91" i="14"/>
  <c r="J92" i="14"/>
  <c r="J104" i="14"/>
  <c r="J94" i="14"/>
  <c r="J88" i="14"/>
  <c r="J100" i="14"/>
  <c r="J85" i="14"/>
  <c r="J83" i="14"/>
  <c r="J90" i="14"/>
  <c r="J84" i="14"/>
  <c r="E54" i="16"/>
  <c r="E76" i="16"/>
  <c r="E26" i="16"/>
  <c r="E75" i="16"/>
  <c r="E118" i="16"/>
  <c r="K49" i="16"/>
  <c r="N52" i="16"/>
  <c r="K62" i="16"/>
  <c r="D49" i="16"/>
  <c r="C50" i="16"/>
  <c r="F61" i="16"/>
  <c r="J49" i="16"/>
  <c r="J60" i="16" s="1"/>
  <c r="L51" i="16"/>
  <c r="G50" i="16"/>
  <c r="J61" i="16"/>
  <c r="F50" i="16"/>
  <c r="H52" i="16"/>
  <c r="D13" i="16"/>
  <c r="K50" i="16"/>
  <c r="N61" i="16"/>
  <c r="N50" i="16"/>
  <c r="E61" i="16"/>
  <c r="E49" i="16"/>
  <c r="C51" i="16"/>
  <c r="J62" i="16"/>
  <c r="J51" i="16"/>
  <c r="I62" i="16"/>
  <c r="I49" i="16"/>
  <c r="G51" i="16"/>
  <c r="N62" i="16"/>
  <c r="F52" i="16"/>
  <c r="L49" i="16"/>
  <c r="L60" i="16" s="1"/>
  <c r="M49" i="16"/>
  <c r="M60" i="16" s="1"/>
  <c r="M63" i="16" s="1"/>
  <c r="K51" i="16"/>
  <c r="H49" i="16"/>
  <c r="H60" i="16" s="1"/>
  <c r="H63" i="16" s="1"/>
  <c r="L52" i="16"/>
  <c r="E50" i="16"/>
  <c r="C52" i="16"/>
  <c r="D50" i="16"/>
  <c r="D61" i="16"/>
  <c r="I50" i="16"/>
  <c r="G52" i="16"/>
  <c r="L50" i="16"/>
  <c r="H61" i="16"/>
  <c r="H62" i="16"/>
  <c r="M50" i="16"/>
  <c r="K52" i="16"/>
  <c r="H51" i="16"/>
  <c r="L61" i="16"/>
  <c r="E51" i="16"/>
  <c r="F49" i="16"/>
  <c r="F60" i="16" s="1"/>
  <c r="F63" i="16" s="1"/>
  <c r="D52" i="16"/>
  <c r="L62" i="16"/>
  <c r="I51" i="16"/>
  <c r="N49" i="16"/>
  <c r="J52" i="16"/>
  <c r="H50" i="16"/>
  <c r="M51" i="16"/>
  <c r="J50" i="16"/>
  <c r="C61" i="16"/>
  <c r="M52" i="16"/>
  <c r="E52" i="16"/>
  <c r="F51" i="16"/>
  <c r="G61" i="16"/>
  <c r="I61" i="16"/>
  <c r="C49" i="16"/>
  <c r="C60" i="16" s="1"/>
  <c r="C63" i="16" s="1"/>
  <c r="N51" i="16"/>
  <c r="K61" i="16"/>
  <c r="D51" i="16"/>
  <c r="G49" i="16"/>
  <c r="G60" i="16" s="1"/>
  <c r="G63" i="16" s="1"/>
  <c r="I52" i="16"/>
  <c r="C62" i="16"/>
  <c r="M61" i="16"/>
  <c r="M62" i="16"/>
  <c r="G62" i="16"/>
  <c r="E62" i="16"/>
  <c r="F62" i="16"/>
  <c r="D62" i="16"/>
  <c r="F51" i="13"/>
  <c r="F74" i="13"/>
  <c r="F77" i="13"/>
  <c r="F73" i="13"/>
  <c r="F26" i="13"/>
  <c r="F76" i="13"/>
  <c r="F75" i="13"/>
  <c r="F78" i="13"/>
  <c r="F115" i="13"/>
  <c r="F72" i="13"/>
  <c r="F23" i="6"/>
  <c r="E21" i="6"/>
  <c r="F22" i="6"/>
  <c r="B26" i="9"/>
  <c r="B25" i="9"/>
  <c r="H86" i="7"/>
  <c r="H90" i="7"/>
  <c r="G58" i="7"/>
  <c r="E58" i="7"/>
  <c r="H48" i="7"/>
  <c r="D48" i="7"/>
  <c r="K58" i="7"/>
  <c r="I58" i="7"/>
  <c r="D49" i="7"/>
  <c r="J58" i="7"/>
  <c r="G47" i="7"/>
  <c r="E47" i="7"/>
  <c r="N48" i="7"/>
  <c r="N59" i="7"/>
  <c r="K47" i="7"/>
  <c r="I47" i="7"/>
  <c r="J49" i="7"/>
  <c r="J46" i="7"/>
  <c r="C48" i="7"/>
  <c r="M47" i="7"/>
  <c r="D58" i="7"/>
  <c r="F47" i="7"/>
  <c r="C58" i="7"/>
  <c r="M49" i="7"/>
  <c r="L47" i="7"/>
  <c r="D46" i="7"/>
  <c r="G46" i="7"/>
  <c r="G57" i="7" s="1"/>
  <c r="E49" i="7"/>
  <c r="H49" i="7"/>
  <c r="K46" i="7"/>
  <c r="I49" i="7"/>
  <c r="N47" i="7"/>
  <c r="I59" i="7"/>
  <c r="C47" i="7"/>
  <c r="M58" i="7"/>
  <c r="J48" i="7"/>
  <c r="G48" i="7"/>
  <c r="F46" i="7"/>
  <c r="F49" i="7"/>
  <c r="K48" i="7"/>
  <c r="N46" i="7"/>
  <c r="N49" i="7"/>
  <c r="C49" i="7"/>
  <c r="J47" i="7"/>
  <c r="H58" i="7"/>
  <c r="G49" i="7"/>
  <c r="F48" i="7"/>
  <c r="K49" i="7"/>
  <c r="L58" i="7"/>
  <c r="C59" i="7"/>
  <c r="L46" i="7"/>
  <c r="D13" i="7"/>
  <c r="L48" i="7"/>
  <c r="E46" i="7"/>
  <c r="H46" i="7"/>
  <c r="I46" i="7"/>
  <c r="D47" i="7"/>
  <c r="M46" i="7"/>
  <c r="L49" i="7"/>
  <c r="J59" i="7"/>
  <c r="E48" i="7"/>
  <c r="F58" i="7"/>
  <c r="I48" i="7"/>
  <c r="N58" i="7"/>
  <c r="C46" i="7"/>
  <c r="C57" i="7" s="1"/>
  <c r="C60" i="7" s="1"/>
  <c r="M48" i="7"/>
  <c r="H47" i="7"/>
  <c r="H59" i="7"/>
  <c r="G59" i="7"/>
  <c r="F59" i="7"/>
  <c r="H74" i="13"/>
  <c r="H115" i="13"/>
  <c r="H75" i="13"/>
  <c r="H72" i="13"/>
  <c r="H76" i="13"/>
  <c r="H73" i="13"/>
  <c r="H78" i="13"/>
  <c r="H77" i="13"/>
  <c r="H26" i="13"/>
  <c r="H51" i="13"/>
  <c r="H105" i="6"/>
  <c r="H97" i="6"/>
  <c r="H100" i="6"/>
  <c r="H101" i="6"/>
  <c r="H102" i="6"/>
  <c r="H103" i="6"/>
  <c r="H104" i="6"/>
  <c r="H84" i="6"/>
  <c r="H88" i="6"/>
  <c r="H90" i="6"/>
  <c r="H82" i="6"/>
  <c r="H85" i="6"/>
  <c r="H87" i="6"/>
  <c r="H92" i="6"/>
  <c r="H86" i="6"/>
  <c r="H91" i="6"/>
  <c r="H94" i="6"/>
  <c r="H83" i="6"/>
  <c r="H95" i="6"/>
  <c r="H96" i="6"/>
  <c r="H98" i="6"/>
  <c r="H99" i="6"/>
  <c r="D21" i="7"/>
  <c r="E22" i="7"/>
  <c r="E23" i="7"/>
  <c r="G78" i="12"/>
  <c r="G26" i="12"/>
  <c r="G75" i="12"/>
  <c r="G77" i="12"/>
  <c r="G80" i="12"/>
  <c r="G76" i="12"/>
  <c r="G118" i="12"/>
  <c r="G79" i="12"/>
  <c r="G81" i="12"/>
  <c r="G54" i="12"/>
  <c r="H102" i="7"/>
  <c r="H96" i="7"/>
  <c r="H101" i="7"/>
  <c r="H80" i="7"/>
  <c r="H79" i="7"/>
  <c r="H88" i="7"/>
  <c r="H100" i="7"/>
  <c r="H85" i="7"/>
  <c r="H84" i="7"/>
  <c r="H93" i="7"/>
  <c r="H99" i="7"/>
  <c r="H97" i="7"/>
  <c r="H92" i="7"/>
  <c r="H91" i="7"/>
  <c r="H98" i="7"/>
  <c r="H81" i="7"/>
  <c r="H82" i="7"/>
  <c r="H94" i="7"/>
  <c r="H83" i="7"/>
  <c r="H89" i="7"/>
  <c r="H87" i="7"/>
  <c r="H95" i="7"/>
  <c r="G26" i="16"/>
  <c r="G75" i="16"/>
  <c r="G54" i="16"/>
  <c r="G118" i="16"/>
  <c r="G76" i="16"/>
  <c r="J89" i="14"/>
  <c r="J93" i="14"/>
  <c r="C14" i="19"/>
  <c r="C15" i="19"/>
  <c r="C13" i="19"/>
  <c r="C17" i="19"/>
  <c r="C11" i="19"/>
  <c r="C12" i="19"/>
  <c r="C16" i="19"/>
  <c r="F115" i="7"/>
  <c r="F73" i="7"/>
  <c r="F72" i="7"/>
  <c r="F51" i="7"/>
  <c r="F26" i="7"/>
  <c r="H81" i="12"/>
  <c r="H26" i="12"/>
  <c r="H79" i="12"/>
  <c r="H75" i="12"/>
  <c r="H54" i="12"/>
  <c r="H118" i="12"/>
  <c r="H78" i="12"/>
  <c r="H77" i="12"/>
  <c r="H80" i="12"/>
  <c r="H76" i="12"/>
  <c r="C68" i="13"/>
  <c r="C69" i="13" s="1"/>
  <c r="D18" i="13"/>
  <c r="E68" i="13"/>
  <c r="M88" i="10"/>
  <c r="M96" i="10"/>
  <c r="M98" i="10"/>
  <c r="M105" i="10"/>
  <c r="M85" i="10"/>
  <c r="M97" i="10"/>
  <c r="M99" i="10"/>
  <c r="M102" i="10"/>
  <c r="M91" i="10"/>
  <c r="M100" i="10"/>
  <c r="M101" i="10"/>
  <c r="M86" i="10"/>
  <c r="M92" i="10"/>
  <c r="M82" i="10"/>
  <c r="M83" i="10"/>
  <c r="M90" i="10"/>
  <c r="M95" i="10"/>
  <c r="M94" i="10"/>
  <c r="M104" i="10"/>
  <c r="M103" i="10"/>
  <c r="M84" i="10"/>
  <c r="M87" i="10"/>
  <c r="F76" i="16"/>
  <c r="F75" i="16"/>
  <c r="F26" i="16"/>
  <c r="F54" i="16"/>
  <c r="F118" i="16"/>
  <c r="D74" i="13"/>
  <c r="D73" i="13"/>
  <c r="D76" i="13"/>
  <c r="D77" i="13"/>
  <c r="D75" i="13"/>
  <c r="D78" i="13"/>
  <c r="D26" i="13"/>
  <c r="D72" i="13"/>
  <c r="D51" i="13"/>
  <c r="D115" i="13"/>
  <c r="C6" i="10"/>
  <c r="D47" i="4"/>
  <c r="D14" i="4"/>
  <c r="D42" i="4"/>
  <c r="N15" i="10" s="1"/>
  <c r="D28" i="4"/>
  <c r="C10" i="10" s="1"/>
  <c r="D24" i="4"/>
  <c r="D95" i="4"/>
  <c r="M81" i="12"/>
  <c r="M79" i="12"/>
  <c r="M26" i="12"/>
  <c r="M78" i="12"/>
  <c r="M77" i="12"/>
  <c r="M54" i="12"/>
  <c r="M118" i="12"/>
  <c r="M80" i="12"/>
  <c r="M76" i="12"/>
  <c r="M75" i="12"/>
  <c r="C71" i="12"/>
  <c r="C72" i="12" s="1"/>
  <c r="E71" i="12"/>
  <c r="E74" i="13"/>
  <c r="E72" i="13"/>
  <c r="E77" i="13"/>
  <c r="E73" i="13"/>
  <c r="E26" i="13"/>
  <c r="E76" i="13"/>
  <c r="E115" i="13"/>
  <c r="E75" i="13"/>
  <c r="E78" i="13"/>
  <c r="E51" i="13"/>
  <c r="G78" i="7"/>
  <c r="G74" i="7"/>
  <c r="G75" i="7"/>
  <c r="G77" i="7"/>
  <c r="G76" i="7"/>
  <c r="N61" i="14"/>
  <c r="K61" i="14"/>
  <c r="H61" i="14"/>
  <c r="I61" i="14"/>
  <c r="L62" i="14"/>
  <c r="N62" i="14"/>
  <c r="C62" i="14"/>
  <c r="L61" i="14"/>
  <c r="I50" i="14"/>
  <c r="N50" i="14"/>
  <c r="K50" i="14"/>
  <c r="H50" i="14"/>
  <c r="M49" i="14"/>
  <c r="F51" i="14"/>
  <c r="C51" i="14"/>
  <c r="L50" i="14"/>
  <c r="E51" i="14"/>
  <c r="J51" i="14"/>
  <c r="G51" i="14"/>
  <c r="D51" i="14"/>
  <c r="I52" i="14"/>
  <c r="J61" i="14"/>
  <c r="G61" i="14"/>
  <c r="D61" i="14"/>
  <c r="M52" i="14"/>
  <c r="F52" i="14"/>
  <c r="H49" i="14"/>
  <c r="E50" i="14"/>
  <c r="J52" i="14"/>
  <c r="L49" i="14"/>
  <c r="I51" i="14"/>
  <c r="N52" i="14"/>
  <c r="D50" i="14"/>
  <c r="F61" i="14"/>
  <c r="H51" i="14"/>
  <c r="C49" i="14"/>
  <c r="C60" i="14" s="1"/>
  <c r="L51" i="14"/>
  <c r="G49" i="14"/>
  <c r="G60" i="14" s="1"/>
  <c r="D52" i="14"/>
  <c r="K49" i="14"/>
  <c r="K60" i="14" s="1"/>
  <c r="K63" i="14" s="1"/>
  <c r="H52" i="14"/>
  <c r="J62" i="14"/>
  <c r="C50" i="14"/>
  <c r="L52" i="14"/>
  <c r="G50" i="14"/>
  <c r="D13" i="14"/>
  <c r="K51" i="14"/>
  <c r="I49" i="14"/>
  <c r="F49" i="14"/>
  <c r="F60" i="14" s="1"/>
  <c r="C52" i="14"/>
  <c r="M50" i="14"/>
  <c r="J49" i="14"/>
  <c r="J60" i="14" s="1"/>
  <c r="G52" i="14"/>
  <c r="E52" i="14"/>
  <c r="N49" i="14"/>
  <c r="N60" i="14" s="1"/>
  <c r="K52" i="14"/>
  <c r="M51" i="14"/>
  <c r="F50" i="14"/>
  <c r="C61" i="14"/>
  <c r="E61" i="14"/>
  <c r="J50" i="14"/>
  <c r="K62" i="14"/>
  <c r="E49" i="14"/>
  <c r="N51" i="14"/>
  <c r="D49" i="14"/>
  <c r="D60" i="14" s="1"/>
  <c r="M61" i="14"/>
  <c r="I62" i="14"/>
  <c r="M62" i="14"/>
  <c r="H62" i="14"/>
  <c r="G62" i="14"/>
  <c r="F62" i="14"/>
  <c r="D62" i="14"/>
  <c r="E62" i="14"/>
  <c r="K77" i="12"/>
  <c r="K76" i="12"/>
  <c r="K26" i="12"/>
  <c r="K81" i="12"/>
  <c r="K80" i="12"/>
  <c r="K79" i="12"/>
  <c r="K78" i="12"/>
  <c r="K75" i="12"/>
  <c r="K54" i="12"/>
  <c r="K118" i="12"/>
  <c r="C23" i="12"/>
  <c r="K28" i="15"/>
  <c r="E28" i="15"/>
  <c r="I28" i="15"/>
  <c r="F28" i="15"/>
  <c r="M28" i="15"/>
  <c r="L28" i="15"/>
  <c r="D28" i="15"/>
  <c r="H28" i="15"/>
  <c r="J28" i="15"/>
  <c r="N28" i="15"/>
  <c r="C28" i="15"/>
  <c r="G28" i="15"/>
  <c r="C13" i="15"/>
  <c r="C71" i="16"/>
  <c r="C72" i="16" s="1"/>
  <c r="E71" i="16"/>
  <c r="H76" i="16"/>
  <c r="H75" i="16"/>
  <c r="H54" i="16"/>
  <c r="H118" i="16"/>
  <c r="H26" i="16"/>
  <c r="K86" i="14"/>
  <c r="K91" i="14"/>
  <c r="K83" i="14"/>
  <c r="K92" i="14"/>
  <c r="K84" i="14"/>
  <c r="K90" i="14"/>
  <c r="K85" i="14"/>
  <c r="K82" i="14"/>
  <c r="K87" i="14"/>
  <c r="K88" i="14"/>
  <c r="K101" i="14"/>
  <c r="K102" i="14"/>
  <c r="K97" i="14"/>
  <c r="K99" i="14"/>
  <c r="K100" i="14"/>
  <c r="K105" i="14"/>
  <c r="K96" i="14"/>
  <c r="K104" i="14"/>
  <c r="K94" i="14"/>
  <c r="K98" i="14"/>
  <c r="K95" i="14"/>
  <c r="K103" i="14"/>
  <c r="K93" i="14"/>
  <c r="K89" i="14"/>
  <c r="N49" i="6"/>
  <c r="N60" i="6" s="1"/>
  <c r="E51" i="6"/>
  <c r="C61" i="6"/>
  <c r="H50" i="6"/>
  <c r="M61" i="6"/>
  <c r="J52" i="6"/>
  <c r="G50" i="6"/>
  <c r="I52" i="6"/>
  <c r="D61" i="6"/>
  <c r="J50" i="6"/>
  <c r="C49" i="6"/>
  <c r="I50" i="6"/>
  <c r="H61" i="6"/>
  <c r="N50" i="6"/>
  <c r="G49" i="6"/>
  <c r="I51" i="6"/>
  <c r="L61" i="6"/>
  <c r="F51" i="6"/>
  <c r="K49" i="6"/>
  <c r="K60" i="6" s="1"/>
  <c r="K63" i="6" s="1"/>
  <c r="I61" i="6"/>
  <c r="L62" i="6"/>
  <c r="J51" i="6"/>
  <c r="C50" i="6"/>
  <c r="I62" i="6"/>
  <c r="E49" i="6"/>
  <c r="F61" i="6"/>
  <c r="K51" i="6"/>
  <c r="L49" i="6"/>
  <c r="M62" i="6"/>
  <c r="J61" i="6"/>
  <c r="C52" i="6"/>
  <c r="D50" i="6"/>
  <c r="N61" i="6"/>
  <c r="G52" i="6"/>
  <c r="L50" i="6"/>
  <c r="J62" i="6"/>
  <c r="K52" i="6"/>
  <c r="D51" i="6"/>
  <c r="N62" i="6"/>
  <c r="G61" i="6"/>
  <c r="H51" i="6"/>
  <c r="F50" i="6"/>
  <c r="E61" i="6"/>
  <c r="I49" i="6"/>
  <c r="L52" i="6"/>
  <c r="G51" i="6"/>
  <c r="G62" i="6"/>
  <c r="K61" i="6"/>
  <c r="C62" i="6"/>
  <c r="K62" i="6"/>
  <c r="H62" i="6"/>
  <c r="D13" i="6"/>
  <c r="D49" i="6"/>
  <c r="F49" i="6"/>
  <c r="H49" i="6"/>
  <c r="J49" i="6"/>
  <c r="L51" i="6"/>
  <c r="N51" i="6"/>
  <c r="D52" i="6"/>
  <c r="F52" i="6"/>
  <c r="H52" i="6"/>
  <c r="N52" i="6"/>
  <c r="E50" i="6"/>
  <c r="M49" i="6"/>
  <c r="M50" i="6"/>
  <c r="E52" i="6"/>
  <c r="M51" i="6"/>
  <c r="M52" i="6"/>
  <c r="K50" i="6"/>
  <c r="C51" i="6"/>
  <c r="F62" i="6"/>
  <c r="N23" i="12"/>
  <c r="C11" i="4"/>
  <c r="C95" i="4"/>
  <c r="C67" i="11"/>
  <c r="G70" i="11"/>
  <c r="C12" i="11"/>
  <c r="C66" i="11"/>
  <c r="C70" i="11" s="1"/>
  <c r="K3" i="11" s="1"/>
  <c r="C71" i="11"/>
  <c r="E71" i="11" s="1"/>
  <c r="G71" i="11"/>
  <c r="E66" i="11"/>
  <c r="E70" i="11" s="1"/>
  <c r="K4" i="11" s="1"/>
  <c r="K5" i="11" s="1"/>
  <c r="J75" i="12"/>
  <c r="J81" i="12"/>
  <c r="J54" i="12"/>
  <c r="J78" i="12"/>
  <c r="J77" i="12"/>
  <c r="J26" i="12"/>
  <c r="J79" i="12"/>
  <c r="J80" i="12"/>
  <c r="J118" i="12"/>
  <c r="J76" i="12"/>
  <c r="M76" i="16"/>
  <c r="M75" i="16"/>
  <c r="M118" i="16"/>
  <c r="M54" i="16"/>
  <c r="M26" i="16"/>
  <c r="C23" i="13"/>
  <c r="I80" i="12"/>
  <c r="I54" i="12"/>
  <c r="I81" i="12"/>
  <c r="I78" i="12"/>
  <c r="I26" i="12"/>
  <c r="I77" i="12"/>
  <c r="I118" i="12"/>
  <c r="I76" i="12"/>
  <c r="I75" i="12"/>
  <c r="I79" i="12"/>
  <c r="L26" i="16"/>
  <c r="L76" i="16"/>
  <c r="L75" i="16"/>
  <c r="L54" i="16"/>
  <c r="L118" i="16"/>
  <c r="I54" i="16"/>
  <c r="I76" i="16"/>
  <c r="I26" i="16"/>
  <c r="I75" i="16"/>
  <c r="I118" i="16"/>
  <c r="D46" i="13"/>
  <c r="D57" i="13" s="1"/>
  <c r="L46" i="13"/>
  <c r="J46" i="13"/>
  <c r="C58" i="13"/>
  <c r="K58" i="13"/>
  <c r="F46" i="13"/>
  <c r="N58" i="13"/>
  <c r="N48" i="13"/>
  <c r="N49" i="13"/>
  <c r="L48" i="13"/>
  <c r="N47" i="13"/>
  <c r="I48" i="13"/>
  <c r="J47" i="13"/>
  <c r="G58" i="13"/>
  <c r="L58" i="13"/>
  <c r="C59" i="13"/>
  <c r="C47" i="13"/>
  <c r="D49" i="13"/>
  <c r="C49" i="13"/>
  <c r="I59" i="13"/>
  <c r="J48" i="13"/>
  <c r="M58" i="13"/>
  <c r="K47" i="13"/>
  <c r="K48" i="13"/>
  <c r="E58" i="13"/>
  <c r="L49" i="13"/>
  <c r="H59" i="13"/>
  <c r="D58" i="13"/>
  <c r="H58" i="13"/>
  <c r="G48" i="13"/>
  <c r="L47" i="13"/>
  <c r="H47" i="13"/>
  <c r="N59" i="13"/>
  <c r="F49" i="13"/>
  <c r="I46" i="13"/>
  <c r="J49" i="13"/>
  <c r="I58" i="13"/>
  <c r="E49" i="13"/>
  <c r="G46" i="13"/>
  <c r="M47" i="13"/>
  <c r="H49" i="13"/>
  <c r="E48" i="13"/>
  <c r="K49" i="13"/>
  <c r="F48" i="13"/>
  <c r="F58" i="13"/>
  <c r="D47" i="13"/>
  <c r="D48" i="13"/>
  <c r="E47" i="13"/>
  <c r="N46" i="13"/>
  <c r="N57" i="13" s="1"/>
  <c r="N60" i="13" s="1"/>
  <c r="M49" i="13"/>
  <c r="H46" i="13"/>
  <c r="G49" i="13"/>
  <c r="E46" i="13"/>
  <c r="M46" i="13"/>
  <c r="K46" i="13"/>
  <c r="M48" i="13"/>
  <c r="I49" i="13"/>
  <c r="H48" i="13"/>
  <c r="G47" i="13"/>
  <c r="C48" i="13"/>
  <c r="I47" i="13"/>
  <c r="D13" i="13"/>
  <c r="F47" i="13"/>
  <c r="C46" i="13"/>
  <c r="C57" i="13" s="1"/>
  <c r="C60" i="13" s="1"/>
  <c r="J58" i="13"/>
  <c r="J59" i="13"/>
  <c r="G59" i="13"/>
  <c r="F59" i="13"/>
  <c r="E59" i="13"/>
  <c r="D59" i="13"/>
  <c r="D28" i="13"/>
  <c r="H28" i="13"/>
  <c r="K28" i="13"/>
  <c r="F28" i="13"/>
  <c r="M28" i="13"/>
  <c r="C11" i="13"/>
  <c r="I28" i="13"/>
  <c r="G28" i="13"/>
  <c r="J28" i="13"/>
  <c r="L28" i="13"/>
  <c r="C28" i="13"/>
  <c r="N28" i="13"/>
  <c r="E28" i="13"/>
  <c r="L78" i="12"/>
  <c r="L77" i="12"/>
  <c r="L80" i="12"/>
  <c r="L76" i="12"/>
  <c r="L75" i="12"/>
  <c r="L81" i="12"/>
  <c r="L26" i="12"/>
  <c r="L54" i="12"/>
  <c r="L79" i="12"/>
  <c r="L118" i="12"/>
  <c r="D78" i="12"/>
  <c r="D118" i="12"/>
  <c r="D77" i="12"/>
  <c r="D80" i="12"/>
  <c r="D76" i="12"/>
  <c r="D26" i="12"/>
  <c r="D79" i="12"/>
  <c r="D81" i="12"/>
  <c r="D75" i="12"/>
  <c r="D54" i="12"/>
  <c r="E32" i="4"/>
  <c r="E31" i="4"/>
  <c r="E118" i="12"/>
  <c r="E75" i="12"/>
  <c r="E79" i="12"/>
  <c r="E81" i="12"/>
  <c r="E78" i="12"/>
  <c r="E26" i="12"/>
  <c r="E77" i="12"/>
  <c r="E54" i="12"/>
  <c r="E80" i="12"/>
  <c r="E76" i="12"/>
  <c r="K26" i="16"/>
  <c r="K76" i="16"/>
  <c r="K75" i="16"/>
  <c r="K54" i="16"/>
  <c r="K118" i="16"/>
  <c r="N23" i="16"/>
  <c r="I76" i="13"/>
  <c r="I78" i="13"/>
  <c r="I75" i="13"/>
  <c r="I73" i="13"/>
  <c r="I51" i="13"/>
  <c r="I72" i="13"/>
  <c r="I115" i="13"/>
  <c r="I74" i="13"/>
  <c r="I26" i="13"/>
  <c r="I77" i="13"/>
  <c r="N23" i="13"/>
  <c r="C8" i="13"/>
  <c r="C9" i="13" s="1"/>
  <c r="M46" i="11"/>
  <c r="C46" i="11"/>
  <c r="C57" i="11" s="1"/>
  <c r="C60" i="11" s="1"/>
  <c r="G58" i="11"/>
  <c r="J47" i="11"/>
  <c r="D47" i="11"/>
  <c r="H48" i="11"/>
  <c r="K49" i="11"/>
  <c r="I58" i="11"/>
  <c r="C59" i="11"/>
  <c r="D58" i="11"/>
  <c r="E46" i="11"/>
  <c r="J46" i="11"/>
  <c r="M47" i="11"/>
  <c r="C47" i="11"/>
  <c r="G46" i="11"/>
  <c r="D48" i="11"/>
  <c r="D46" i="11"/>
  <c r="N49" i="11"/>
  <c r="F49" i="11"/>
  <c r="K58" i="11"/>
  <c r="I47" i="11"/>
  <c r="F47" i="11"/>
  <c r="N48" i="11"/>
  <c r="C48" i="11"/>
  <c r="I49" i="11"/>
  <c r="N58" i="11"/>
  <c r="H47" i="11"/>
  <c r="M58" i="11"/>
  <c r="M49" i="11"/>
  <c r="F48" i="11"/>
  <c r="C58" i="11"/>
  <c r="H49" i="11"/>
  <c r="I48" i="11"/>
  <c r="L48" i="11"/>
  <c r="F58" i="11"/>
  <c r="L46" i="11"/>
  <c r="I46" i="11"/>
  <c r="F46" i="11"/>
  <c r="G49" i="11"/>
  <c r="G48" i="11"/>
  <c r="M48" i="11"/>
  <c r="K46" i="11"/>
  <c r="N59" i="11"/>
  <c r="E58" i="11"/>
  <c r="J49" i="11"/>
  <c r="J48" i="11"/>
  <c r="H58" i="11"/>
  <c r="N46" i="11"/>
  <c r="N57" i="11" s="1"/>
  <c r="N60" i="11" s="1"/>
  <c r="D13" i="11"/>
  <c r="L47" i="11"/>
  <c r="E49" i="11"/>
  <c r="K47" i="11"/>
  <c r="H46" i="11"/>
  <c r="E47" i="11"/>
  <c r="N47" i="11"/>
  <c r="L49" i="11"/>
  <c r="C49" i="11"/>
  <c r="L58" i="11"/>
  <c r="J58" i="11"/>
  <c r="J59" i="11"/>
  <c r="G47" i="11"/>
  <c r="I59" i="11"/>
  <c r="E48" i="11"/>
  <c r="D49" i="11"/>
  <c r="K48" i="11"/>
  <c r="H59" i="11"/>
  <c r="G59" i="11"/>
  <c r="F59" i="11"/>
  <c r="E59" i="11"/>
  <c r="D59" i="11"/>
  <c r="J76" i="16"/>
  <c r="J75" i="16"/>
  <c r="J26" i="16"/>
  <c r="J54" i="16"/>
  <c r="J118" i="16"/>
  <c r="L101" i="14"/>
  <c r="L102" i="14"/>
  <c r="L95" i="14"/>
  <c r="L82" i="14"/>
  <c r="L85" i="14"/>
  <c r="L105" i="14"/>
  <c r="L88" i="14"/>
  <c r="L103" i="14"/>
  <c r="L100" i="14"/>
  <c r="L92" i="14"/>
  <c r="L94" i="14"/>
  <c r="L83" i="14"/>
  <c r="L97" i="14"/>
  <c r="L87" i="14"/>
  <c r="L96" i="14"/>
  <c r="L91" i="14"/>
  <c r="L90" i="14"/>
  <c r="L98" i="14"/>
  <c r="L104" i="14"/>
  <c r="L84" i="14"/>
  <c r="L86" i="14"/>
  <c r="L99" i="14"/>
  <c r="L93" i="14"/>
  <c r="L89" i="14"/>
  <c r="D76" i="16"/>
  <c r="D75" i="16"/>
  <c r="D26" i="16"/>
  <c r="D54" i="16"/>
  <c r="D118" i="16"/>
  <c r="C23" i="16"/>
  <c r="G70" i="7"/>
  <c r="C71" i="7"/>
  <c r="E71" i="7" s="1"/>
  <c r="G71" i="7"/>
  <c r="C67" i="7"/>
  <c r="C12" i="7"/>
  <c r="F53" i="7" s="1"/>
  <c r="F54" i="7" s="1"/>
  <c r="E66" i="7"/>
  <c r="E70" i="7" s="1"/>
  <c r="K4" i="7" s="1"/>
  <c r="C66" i="7"/>
  <c r="C70" i="7" s="1"/>
  <c r="K3" i="7" s="1"/>
  <c r="E39" i="7" s="1"/>
  <c r="G73" i="13"/>
  <c r="G76" i="13"/>
  <c r="G77" i="13"/>
  <c r="G115" i="13"/>
  <c r="G51" i="13"/>
  <c r="G75" i="13"/>
  <c r="G78" i="13"/>
  <c r="G74" i="13"/>
  <c r="G26" i="13"/>
  <c r="G72" i="13"/>
  <c r="J77" i="13"/>
  <c r="J73" i="13"/>
  <c r="J115" i="13"/>
  <c r="J76" i="13"/>
  <c r="J78" i="13"/>
  <c r="J26" i="13"/>
  <c r="J72" i="13"/>
  <c r="J51" i="13"/>
  <c r="J74" i="13"/>
  <c r="J75" i="13"/>
  <c r="K28" i="12"/>
  <c r="M28" i="12"/>
  <c r="D28" i="12"/>
  <c r="J28" i="12"/>
  <c r="C28" i="12"/>
  <c r="L28" i="12"/>
  <c r="I28" i="12"/>
  <c r="E28" i="12"/>
  <c r="H28" i="12"/>
  <c r="G28" i="12"/>
  <c r="N28" i="12"/>
  <c r="F28" i="12"/>
  <c r="F79" i="12"/>
  <c r="F26" i="12"/>
  <c r="F81" i="12"/>
  <c r="F54" i="12"/>
  <c r="F78" i="12"/>
  <c r="F77" i="12"/>
  <c r="F75" i="12"/>
  <c r="F118" i="12"/>
  <c r="F80" i="12"/>
  <c r="F76" i="12"/>
  <c r="K28" i="16"/>
  <c r="H28" i="16"/>
  <c r="L28" i="16"/>
  <c r="J28" i="16"/>
  <c r="D28" i="16"/>
  <c r="E28" i="16"/>
  <c r="I28" i="16"/>
  <c r="F28" i="16"/>
  <c r="M28" i="16"/>
  <c r="C28" i="16"/>
  <c r="G28" i="16"/>
  <c r="N28" i="16"/>
  <c r="H57" i="13" l="1"/>
  <c r="H60" i="13" s="1"/>
  <c r="I57" i="13"/>
  <c r="I60" i="13" s="1"/>
  <c r="J57" i="13"/>
  <c r="J60" i="13" s="1"/>
  <c r="J86" i="12"/>
  <c r="J95" i="12"/>
  <c r="J98" i="12"/>
  <c r="J105" i="12"/>
  <c r="J88" i="12"/>
  <c r="J96" i="12"/>
  <c r="J83" i="12"/>
  <c r="J94" i="12"/>
  <c r="J91" i="12"/>
  <c r="J104" i="12"/>
  <c r="J97" i="12"/>
  <c r="J90" i="12"/>
  <c r="J100" i="12"/>
  <c r="J99" i="12"/>
  <c r="J103" i="12"/>
  <c r="J102" i="12"/>
  <c r="J84" i="12"/>
  <c r="J101" i="12"/>
  <c r="J92" i="12"/>
  <c r="J85" i="12"/>
  <c r="J82" i="12"/>
  <c r="J87" i="12"/>
  <c r="F60" i="6"/>
  <c r="F63" i="6" s="1"/>
  <c r="K89" i="12"/>
  <c r="K93" i="12"/>
  <c r="K60" i="16"/>
  <c r="K63" i="16" s="1"/>
  <c r="I60" i="10"/>
  <c r="I63" i="10" s="1"/>
  <c r="E86" i="13"/>
  <c r="E90" i="13"/>
  <c r="G99" i="12"/>
  <c r="G102" i="12"/>
  <c r="G100" i="12"/>
  <c r="G95" i="12"/>
  <c r="G84" i="12"/>
  <c r="G98" i="12"/>
  <c r="G92" i="12"/>
  <c r="G97" i="12"/>
  <c r="G94" i="12"/>
  <c r="G103" i="12"/>
  <c r="G101" i="12"/>
  <c r="G83" i="12"/>
  <c r="G104" i="12"/>
  <c r="G91" i="12"/>
  <c r="G85" i="12"/>
  <c r="G105" i="12"/>
  <c r="G82" i="12"/>
  <c r="G87" i="12"/>
  <c r="G86" i="12"/>
  <c r="G88" i="12"/>
  <c r="G90" i="12"/>
  <c r="G96" i="12"/>
  <c r="D57" i="11"/>
  <c r="D60" i="11" s="1"/>
  <c r="D60" i="13"/>
  <c r="N63" i="14"/>
  <c r="J57" i="7"/>
  <c r="J60" i="7" s="1"/>
  <c r="G63" i="14"/>
  <c r="D86" i="13"/>
  <c r="D90" i="13"/>
  <c r="H93" i="12"/>
  <c r="H89" i="12"/>
  <c r="G57" i="11"/>
  <c r="G60" i="11" s="1"/>
  <c r="H92" i="13"/>
  <c r="H79" i="13"/>
  <c r="H85" i="13"/>
  <c r="H99" i="13"/>
  <c r="H89" i="13"/>
  <c r="H88" i="13"/>
  <c r="H80" i="13"/>
  <c r="H81" i="13"/>
  <c r="H95" i="13"/>
  <c r="H97" i="13"/>
  <c r="H98" i="13"/>
  <c r="H82" i="13"/>
  <c r="H84" i="13"/>
  <c r="H96" i="13"/>
  <c r="H87" i="13"/>
  <c r="H94" i="13"/>
  <c r="H102" i="13"/>
  <c r="H83" i="13"/>
  <c r="H101" i="13"/>
  <c r="H100" i="13"/>
  <c r="H91" i="13"/>
  <c r="H93" i="13"/>
  <c r="L63" i="10"/>
  <c r="M63" i="12"/>
  <c r="N63" i="6"/>
  <c r="J63" i="14"/>
  <c r="C63" i="14"/>
  <c r="M93" i="12"/>
  <c r="M89" i="12"/>
  <c r="D93" i="13"/>
  <c r="D100" i="13"/>
  <c r="D96" i="13"/>
  <c r="D82" i="13"/>
  <c r="D99" i="13"/>
  <c r="D95" i="13"/>
  <c r="D80" i="13"/>
  <c r="D102" i="13"/>
  <c r="D85" i="13"/>
  <c r="D88" i="13"/>
  <c r="D81" i="13"/>
  <c r="D89" i="13"/>
  <c r="D91" i="13"/>
  <c r="D98" i="13"/>
  <c r="D101" i="13"/>
  <c r="D87" i="13"/>
  <c r="D97" i="13"/>
  <c r="D92" i="13"/>
  <c r="D84" i="13"/>
  <c r="D79" i="13"/>
  <c r="D83" i="13"/>
  <c r="D94" i="13"/>
  <c r="F86" i="13"/>
  <c r="F90" i="13"/>
  <c r="G85" i="6"/>
  <c r="G91" i="6"/>
  <c r="G92" i="6"/>
  <c r="G96" i="6"/>
  <c r="G94" i="6"/>
  <c r="G99" i="6"/>
  <c r="G97" i="6"/>
  <c r="G104" i="6"/>
  <c r="G100" i="6"/>
  <c r="G105" i="6"/>
  <c r="G101" i="6"/>
  <c r="G102" i="6"/>
  <c r="G82" i="6"/>
  <c r="G87" i="6"/>
  <c r="G86" i="6"/>
  <c r="G95" i="6"/>
  <c r="G98" i="6"/>
  <c r="G103" i="6"/>
  <c r="G84" i="6"/>
  <c r="G88" i="6"/>
  <c r="G83" i="6"/>
  <c r="G90" i="6"/>
  <c r="J63" i="10"/>
  <c r="J89" i="12"/>
  <c r="J93" i="12"/>
  <c r="M60" i="6"/>
  <c r="M63" i="6" s="1"/>
  <c r="C6" i="15"/>
  <c r="D98" i="4"/>
  <c r="C10" i="15" s="1"/>
  <c r="D8" i="8"/>
  <c r="D8" i="19"/>
  <c r="D105" i="4"/>
  <c r="D104" i="4"/>
  <c r="N15" i="15" s="1"/>
  <c r="D97" i="4"/>
  <c r="H90" i="13"/>
  <c r="H86" i="13"/>
  <c r="L63" i="16"/>
  <c r="E63" i="10"/>
  <c r="K60" i="10"/>
  <c r="K63" i="10" s="1"/>
  <c r="C63" i="12"/>
  <c r="D60" i="12"/>
  <c r="D63" i="12" s="1"/>
  <c r="G83" i="13"/>
  <c r="G80" i="13"/>
  <c r="G93" i="13"/>
  <c r="G87" i="13"/>
  <c r="G96" i="13"/>
  <c r="G97" i="13"/>
  <c r="G99" i="13"/>
  <c r="G92" i="13"/>
  <c r="G82" i="13"/>
  <c r="G84" i="13"/>
  <c r="G91" i="13"/>
  <c r="G98" i="13"/>
  <c r="G101" i="13"/>
  <c r="G85" i="13"/>
  <c r="G79" i="13"/>
  <c r="G94" i="13"/>
  <c r="G100" i="13"/>
  <c r="G88" i="13"/>
  <c r="G81" i="13"/>
  <c r="G95" i="13"/>
  <c r="G89" i="13"/>
  <c r="G102" i="13"/>
  <c r="J57" i="11"/>
  <c r="J60" i="11" s="1"/>
  <c r="M77" i="16"/>
  <c r="M81" i="16"/>
  <c r="M78" i="16"/>
  <c r="M80" i="16"/>
  <c r="M79" i="16"/>
  <c r="G60" i="6"/>
  <c r="G63" i="6" s="1"/>
  <c r="D30" i="4"/>
  <c r="E73" i="7"/>
  <c r="E51" i="7"/>
  <c r="E53" i="7"/>
  <c r="E54" i="7" s="1"/>
  <c r="E115" i="7"/>
  <c r="E72" i="7"/>
  <c r="E26" i="7"/>
  <c r="E77" i="16"/>
  <c r="E81" i="16"/>
  <c r="E80" i="16"/>
  <c r="E79" i="16"/>
  <c r="E78" i="16"/>
  <c r="J90" i="13"/>
  <c r="J86" i="13"/>
  <c r="E57" i="11"/>
  <c r="E60" i="11" s="1"/>
  <c r="C12" i="13"/>
  <c r="G71" i="13"/>
  <c r="G70" i="13"/>
  <c r="C71" i="13"/>
  <c r="E71" i="13" s="1"/>
  <c r="C67" i="13"/>
  <c r="I81" i="16"/>
  <c r="I78" i="16"/>
  <c r="I80" i="16"/>
  <c r="I77" i="16"/>
  <c r="I79" i="16"/>
  <c r="H78" i="16"/>
  <c r="H79" i="16"/>
  <c r="H77" i="16"/>
  <c r="H80" i="16"/>
  <c r="H81" i="16"/>
  <c r="D63" i="14"/>
  <c r="F63" i="14"/>
  <c r="H63" i="10"/>
  <c r="F60" i="12"/>
  <c r="F63" i="12" s="1"/>
  <c r="E100" i="12"/>
  <c r="E88" i="12"/>
  <c r="E86" i="12"/>
  <c r="E90" i="12"/>
  <c r="E95" i="12"/>
  <c r="E96" i="12"/>
  <c r="E98" i="12"/>
  <c r="E99" i="12"/>
  <c r="E97" i="12"/>
  <c r="E102" i="12"/>
  <c r="E85" i="12"/>
  <c r="E83" i="12"/>
  <c r="E103" i="12"/>
  <c r="E91" i="12"/>
  <c r="E84" i="12"/>
  <c r="E92" i="12"/>
  <c r="E94" i="12"/>
  <c r="E101" i="12"/>
  <c r="E104" i="12"/>
  <c r="E82" i="12"/>
  <c r="E105" i="12"/>
  <c r="E87" i="12"/>
  <c r="F87" i="12"/>
  <c r="F86" i="12"/>
  <c r="F91" i="12"/>
  <c r="F101" i="12"/>
  <c r="F97" i="12"/>
  <c r="F88" i="12"/>
  <c r="F84" i="12"/>
  <c r="F92" i="12"/>
  <c r="F85" i="12"/>
  <c r="F82" i="12"/>
  <c r="F95" i="12"/>
  <c r="F98" i="12"/>
  <c r="F105" i="12"/>
  <c r="F90" i="12"/>
  <c r="F99" i="12"/>
  <c r="F102" i="12"/>
  <c r="F96" i="12"/>
  <c r="F94" i="12"/>
  <c r="F104" i="12"/>
  <c r="F83" i="12"/>
  <c r="F100" i="12"/>
  <c r="F103" i="12"/>
  <c r="I101" i="13"/>
  <c r="I88" i="13"/>
  <c r="I92" i="13"/>
  <c r="I89" i="13"/>
  <c r="I97" i="13"/>
  <c r="I81" i="13"/>
  <c r="I84" i="13"/>
  <c r="I85" i="13"/>
  <c r="I83" i="13"/>
  <c r="I93" i="13"/>
  <c r="I96" i="13"/>
  <c r="I99" i="13"/>
  <c r="I91" i="13"/>
  <c r="I98" i="13"/>
  <c r="I79" i="13"/>
  <c r="I94" i="13"/>
  <c r="I100" i="13"/>
  <c r="I95" i="13"/>
  <c r="I80" i="13"/>
  <c r="I102" i="13"/>
  <c r="I82" i="13"/>
  <c r="I87" i="13"/>
  <c r="E93" i="12"/>
  <c r="E89" i="12"/>
  <c r="I60" i="14"/>
  <c r="I63" i="14" s="1"/>
  <c r="E91" i="13"/>
  <c r="E98" i="13"/>
  <c r="E81" i="13"/>
  <c r="E95" i="13"/>
  <c r="E89" i="13"/>
  <c r="E102" i="13"/>
  <c r="E82" i="13"/>
  <c r="E84" i="13"/>
  <c r="E101" i="13"/>
  <c r="E85" i="13"/>
  <c r="E79" i="13"/>
  <c r="E94" i="13"/>
  <c r="E100" i="13"/>
  <c r="E88" i="13"/>
  <c r="E80" i="13"/>
  <c r="E87" i="13"/>
  <c r="E97" i="13"/>
  <c r="E92" i="13"/>
  <c r="E83" i="13"/>
  <c r="E93" i="13"/>
  <c r="E96" i="13"/>
  <c r="E99" i="13"/>
  <c r="K31" i="10"/>
  <c r="C31" i="10"/>
  <c r="L31" i="10"/>
  <c r="M31" i="10"/>
  <c r="J31" i="10"/>
  <c r="I31" i="10"/>
  <c r="H31" i="10"/>
  <c r="F31" i="10"/>
  <c r="G31" i="10"/>
  <c r="E31" i="10"/>
  <c r="D31" i="10"/>
  <c r="F75" i="7"/>
  <c r="F78" i="7"/>
  <c r="F74" i="7"/>
  <c r="F76" i="7"/>
  <c r="F77" i="7"/>
  <c r="D22" i="7"/>
  <c r="D23" i="7"/>
  <c r="D39" i="7"/>
  <c r="G60" i="7"/>
  <c r="C66" i="13"/>
  <c r="C70" i="13" s="1"/>
  <c r="K3" i="13" s="1"/>
  <c r="G89" i="6"/>
  <c r="G93" i="6"/>
  <c r="K60" i="12"/>
  <c r="K63" i="12" s="1"/>
  <c r="H39" i="7"/>
  <c r="N39" i="7"/>
  <c r="I39" i="7"/>
  <c r="J39" i="7"/>
  <c r="G39" i="7"/>
  <c r="C39" i="7"/>
  <c r="F39" i="7"/>
  <c r="D78" i="16"/>
  <c r="D81" i="16"/>
  <c r="D79" i="16"/>
  <c r="D80" i="16"/>
  <c r="D77" i="16"/>
  <c r="C52" i="11"/>
  <c r="D89" i="12"/>
  <c r="D93" i="12"/>
  <c r="L89" i="12"/>
  <c r="L93" i="12"/>
  <c r="I60" i="6"/>
  <c r="I63" i="6" s="1"/>
  <c r="L60" i="6"/>
  <c r="L63" i="6" s="1"/>
  <c r="I51" i="15"/>
  <c r="K51" i="15"/>
  <c r="L49" i="15"/>
  <c r="L60" i="15" s="1"/>
  <c r="H51" i="15"/>
  <c r="M51" i="15"/>
  <c r="C52" i="15"/>
  <c r="H50" i="15"/>
  <c r="F61" i="15"/>
  <c r="M61" i="15"/>
  <c r="C62" i="15"/>
  <c r="D13" i="15"/>
  <c r="L50" i="15"/>
  <c r="C49" i="15"/>
  <c r="J49" i="15"/>
  <c r="F49" i="15"/>
  <c r="E49" i="15"/>
  <c r="G49" i="15"/>
  <c r="F50" i="15"/>
  <c r="N49" i="15"/>
  <c r="N60" i="15" s="1"/>
  <c r="N63" i="15" s="1"/>
  <c r="E51" i="15"/>
  <c r="G51" i="15"/>
  <c r="D49" i="15"/>
  <c r="D60" i="15" s="1"/>
  <c r="D63" i="15" s="1"/>
  <c r="L61" i="15"/>
  <c r="I50" i="15"/>
  <c r="K61" i="15"/>
  <c r="H49" i="15"/>
  <c r="K62" i="15"/>
  <c r="M50" i="15"/>
  <c r="N50" i="15"/>
  <c r="D52" i="15"/>
  <c r="E52" i="15"/>
  <c r="J51" i="15"/>
  <c r="N61" i="15"/>
  <c r="I52" i="15"/>
  <c r="F52" i="15"/>
  <c r="D50" i="15"/>
  <c r="M52" i="15"/>
  <c r="N52" i="15"/>
  <c r="L52" i="15"/>
  <c r="E61" i="15"/>
  <c r="I61" i="15"/>
  <c r="D51" i="15"/>
  <c r="K49" i="15"/>
  <c r="L51" i="15"/>
  <c r="C50" i="15"/>
  <c r="H52" i="15"/>
  <c r="G50" i="15"/>
  <c r="J61" i="15"/>
  <c r="K50" i="15"/>
  <c r="N62" i="15"/>
  <c r="C51" i="15"/>
  <c r="J50" i="15"/>
  <c r="G52" i="15"/>
  <c r="F51" i="15"/>
  <c r="I49" i="15"/>
  <c r="I60" i="15" s="1"/>
  <c r="I63" i="15" s="1"/>
  <c r="K52" i="15"/>
  <c r="N51" i="15"/>
  <c r="M49" i="15"/>
  <c r="C61" i="15"/>
  <c r="J52" i="15"/>
  <c r="E50" i="15"/>
  <c r="G61" i="15"/>
  <c r="D61" i="15"/>
  <c r="M62" i="15"/>
  <c r="H62" i="15"/>
  <c r="H61" i="15"/>
  <c r="L62" i="15"/>
  <c r="I62" i="15"/>
  <c r="J62" i="15"/>
  <c r="G62" i="15"/>
  <c r="F62" i="15"/>
  <c r="E62" i="15"/>
  <c r="D62" i="15"/>
  <c r="E60" i="14"/>
  <c r="E63" i="14" s="1"/>
  <c r="D57" i="7"/>
  <c r="F99" i="13"/>
  <c r="F82" i="13"/>
  <c r="F101" i="13"/>
  <c r="F80" i="13"/>
  <c r="F85" i="13"/>
  <c r="F88" i="13"/>
  <c r="F81" i="13"/>
  <c r="F89" i="13"/>
  <c r="F91" i="13"/>
  <c r="F98" i="13"/>
  <c r="F87" i="13"/>
  <c r="F97" i="13"/>
  <c r="F92" i="13"/>
  <c r="F79" i="13"/>
  <c r="F94" i="13"/>
  <c r="F84" i="13"/>
  <c r="F100" i="13"/>
  <c r="F83" i="13"/>
  <c r="F102" i="13"/>
  <c r="F93" i="13"/>
  <c r="F95" i="13"/>
  <c r="F96" i="13"/>
  <c r="I60" i="16"/>
  <c r="I63" i="16" s="1"/>
  <c r="J63" i="16"/>
  <c r="N60" i="12"/>
  <c r="N63" i="12" s="1"/>
  <c r="J52" i="11"/>
  <c r="J116" i="11" s="1"/>
  <c r="I89" i="12"/>
  <c r="I93" i="12"/>
  <c r="J39" i="11"/>
  <c r="C39" i="11"/>
  <c r="I39" i="11"/>
  <c r="N39" i="11"/>
  <c r="F39" i="11"/>
  <c r="H39" i="11"/>
  <c r="G39" i="11"/>
  <c r="E39" i="11"/>
  <c r="D39" i="11"/>
  <c r="C60" i="6"/>
  <c r="C63" i="6" s="1"/>
  <c r="L60" i="14"/>
  <c r="L63" i="14" s="1"/>
  <c r="G92" i="7"/>
  <c r="G98" i="7"/>
  <c r="G100" i="7"/>
  <c r="G80" i="7"/>
  <c r="G101" i="7"/>
  <c r="G82" i="7"/>
  <c r="G102" i="7"/>
  <c r="G89" i="7"/>
  <c r="G88" i="7"/>
  <c r="G79" i="7"/>
  <c r="G97" i="7"/>
  <c r="G83" i="7"/>
  <c r="G87" i="7"/>
  <c r="G91" i="7"/>
  <c r="G93" i="7"/>
  <c r="G94" i="7"/>
  <c r="G95" i="7"/>
  <c r="G96" i="7"/>
  <c r="G81" i="7"/>
  <c r="G84" i="7"/>
  <c r="G85" i="7"/>
  <c r="G99" i="7"/>
  <c r="H103" i="12"/>
  <c r="H84" i="12"/>
  <c r="H92" i="12"/>
  <c r="H85" i="12"/>
  <c r="H101" i="12"/>
  <c r="H82" i="12"/>
  <c r="H96" i="12"/>
  <c r="H87" i="12"/>
  <c r="H94" i="12"/>
  <c r="H86" i="12"/>
  <c r="H104" i="12"/>
  <c r="H95" i="12"/>
  <c r="H99" i="12"/>
  <c r="H98" i="12"/>
  <c r="H102" i="12"/>
  <c r="H105" i="12"/>
  <c r="H88" i="12"/>
  <c r="H90" i="12"/>
  <c r="H83" i="12"/>
  <c r="H91" i="12"/>
  <c r="H97" i="12"/>
  <c r="H100" i="12"/>
  <c r="E59" i="7"/>
  <c r="N57" i="7"/>
  <c r="N60" i="7" s="1"/>
  <c r="G60" i="10"/>
  <c r="G63" i="10" s="1"/>
  <c r="I86" i="13"/>
  <c r="I90" i="13"/>
  <c r="J80" i="16"/>
  <c r="J79" i="16"/>
  <c r="J78" i="16"/>
  <c r="J81" i="16"/>
  <c r="J77" i="16"/>
  <c r="G52" i="11"/>
  <c r="G57" i="13"/>
  <c r="G60" i="13" s="1"/>
  <c r="N103" i="11"/>
  <c r="K105" i="11"/>
  <c r="D50" i="11"/>
  <c r="D52" i="11" s="1"/>
  <c r="D116" i="11" s="1"/>
  <c r="N105" i="11"/>
  <c r="D105" i="11"/>
  <c r="H107" i="11"/>
  <c r="H110" i="11" s="1"/>
  <c r="G105" i="11"/>
  <c r="L103" i="11"/>
  <c r="F106" i="11"/>
  <c r="D103" i="11"/>
  <c r="J103" i="11"/>
  <c r="J106" i="11"/>
  <c r="J108" i="11" s="1"/>
  <c r="J114" i="11" s="1"/>
  <c r="J45" i="11" s="1"/>
  <c r="J24" i="11" s="1"/>
  <c r="J29" i="11" s="1"/>
  <c r="J32" i="11" s="1"/>
  <c r="D107" i="11"/>
  <c r="H50" i="11"/>
  <c r="D104" i="11"/>
  <c r="M105" i="11"/>
  <c r="D106" i="11"/>
  <c r="D113" i="11" s="1"/>
  <c r="I105" i="11"/>
  <c r="F50" i="11"/>
  <c r="F52" i="11" s="1"/>
  <c r="F116" i="11" s="1"/>
  <c r="C106" i="11"/>
  <c r="C112" i="11" s="1"/>
  <c r="I55" i="11"/>
  <c r="I56" i="11" s="1"/>
  <c r="F107" i="11"/>
  <c r="F113" i="11" s="1"/>
  <c r="I50" i="11"/>
  <c r="I52" i="11" s="1"/>
  <c r="I116" i="11" s="1"/>
  <c r="I117" i="11" s="1"/>
  <c r="F105" i="11"/>
  <c r="D55" i="11"/>
  <c r="D56" i="11" s="1"/>
  <c r="I106" i="11"/>
  <c r="E104" i="11"/>
  <c r="L50" i="11"/>
  <c r="L107" i="11"/>
  <c r="G103" i="11"/>
  <c r="E107" i="11"/>
  <c r="J50" i="11"/>
  <c r="M103" i="11"/>
  <c r="N55" i="11"/>
  <c r="N56" i="11" s="1"/>
  <c r="M55" i="11"/>
  <c r="F104" i="11"/>
  <c r="K107" i="11"/>
  <c r="C103" i="11"/>
  <c r="N104" i="11"/>
  <c r="H104" i="11"/>
  <c r="J107" i="11"/>
  <c r="K50" i="11"/>
  <c r="L104" i="11"/>
  <c r="H105" i="11"/>
  <c r="F55" i="11"/>
  <c r="F56" i="11" s="1"/>
  <c r="J55" i="11"/>
  <c r="J56" i="11" s="1"/>
  <c r="M50" i="11"/>
  <c r="K104" i="11"/>
  <c r="M104" i="11"/>
  <c r="I103" i="11"/>
  <c r="I112" i="11" s="1"/>
  <c r="E103" i="11"/>
  <c r="E112" i="11" s="1"/>
  <c r="G55" i="11"/>
  <c r="G56" i="11" s="1"/>
  <c r="K103" i="11"/>
  <c r="J105" i="11"/>
  <c r="C50" i="11"/>
  <c r="K106" i="11"/>
  <c r="H103" i="11"/>
  <c r="H106" i="11"/>
  <c r="E50" i="11"/>
  <c r="E52" i="11" s="1"/>
  <c r="E116" i="11" s="1"/>
  <c r="E55" i="11"/>
  <c r="E56" i="11" s="1"/>
  <c r="N53" i="11"/>
  <c r="N54" i="11" s="1"/>
  <c r="F103" i="11"/>
  <c r="E106" i="11"/>
  <c r="E108" i="11" s="1"/>
  <c r="N107" i="11"/>
  <c r="N111" i="11" s="1"/>
  <c r="C104" i="11"/>
  <c r="L55" i="11"/>
  <c r="G104" i="11"/>
  <c r="C53" i="11"/>
  <c r="C54" i="11" s="1"/>
  <c r="J104" i="11"/>
  <c r="G50" i="11"/>
  <c r="M106" i="11"/>
  <c r="M107" i="11"/>
  <c r="G106" i="11"/>
  <c r="G113" i="11" s="1"/>
  <c r="K55" i="11"/>
  <c r="C55" i="11"/>
  <c r="C56" i="11" s="1"/>
  <c r="L105" i="11"/>
  <c r="N50" i="11"/>
  <c r="N52" i="11" s="1"/>
  <c r="N116" i="11" s="1"/>
  <c r="N106" i="11"/>
  <c r="N109" i="11" s="1"/>
  <c r="I104" i="11"/>
  <c r="C107" i="11"/>
  <c r="C110" i="11" s="1"/>
  <c r="N113" i="11"/>
  <c r="C105" i="11"/>
  <c r="L106" i="11"/>
  <c r="G107" i="11"/>
  <c r="I107" i="11"/>
  <c r="H55" i="11"/>
  <c r="H56" i="11" s="1"/>
  <c r="E105" i="11"/>
  <c r="J53" i="11"/>
  <c r="J54" i="11" s="1"/>
  <c r="I53" i="11"/>
  <c r="I54" i="11" s="1"/>
  <c r="J112" i="11"/>
  <c r="H53" i="11"/>
  <c r="H54" i="11" s="1"/>
  <c r="I108" i="11"/>
  <c r="I114" i="11" s="1"/>
  <c r="I45" i="11" s="1"/>
  <c r="I24" i="11" s="1"/>
  <c r="I29" i="11" s="1"/>
  <c r="I32" i="11" s="1"/>
  <c r="I109" i="11"/>
  <c r="C111" i="11"/>
  <c r="J109" i="11"/>
  <c r="J110" i="11"/>
  <c r="J111" i="11"/>
  <c r="J113" i="11"/>
  <c r="G53" i="11"/>
  <c r="G54" i="11" s="1"/>
  <c r="I113" i="11"/>
  <c r="I110" i="11"/>
  <c r="I111" i="11"/>
  <c r="H113" i="11"/>
  <c r="F53" i="11"/>
  <c r="F54" i="11" s="1"/>
  <c r="D53" i="11"/>
  <c r="D54" i="11" s="1"/>
  <c r="G111" i="11"/>
  <c r="G108" i="11"/>
  <c r="G112" i="11"/>
  <c r="E53" i="11"/>
  <c r="E54" i="11" s="1"/>
  <c r="G110" i="11"/>
  <c r="F110" i="11"/>
  <c r="D108" i="11"/>
  <c r="D112" i="11"/>
  <c r="D109" i="11"/>
  <c r="D111" i="11"/>
  <c r="E113" i="11"/>
  <c r="F109" i="11"/>
  <c r="E110" i="11"/>
  <c r="D110" i="11"/>
  <c r="E66" i="13"/>
  <c r="E70" i="13" s="1"/>
  <c r="K4" i="13" s="1"/>
  <c r="K5" i="13" s="1"/>
  <c r="M60" i="14"/>
  <c r="M63" i="14" s="1"/>
  <c r="C32" i="10"/>
  <c r="N64" i="10"/>
  <c r="J32" i="10"/>
  <c r="L32" i="10"/>
  <c r="D64" i="10"/>
  <c r="H64" i="10"/>
  <c r="M64" i="10"/>
  <c r="C64" i="10"/>
  <c r="E64" i="10"/>
  <c r="I64" i="10"/>
  <c r="F64" i="10"/>
  <c r="J64" i="10"/>
  <c r="D17" i="10"/>
  <c r="G64" i="10"/>
  <c r="L64" i="10"/>
  <c r="I32" i="10"/>
  <c r="D18" i="10"/>
  <c r="H32" i="10"/>
  <c r="F32" i="10"/>
  <c r="G32" i="10"/>
  <c r="K32" i="10"/>
  <c r="D32" i="10"/>
  <c r="E32" i="10"/>
  <c r="K64" i="10"/>
  <c r="M32" i="10"/>
  <c r="C11" i="10"/>
  <c r="G79" i="16"/>
  <c r="G77" i="16"/>
  <c r="G81" i="16"/>
  <c r="G78" i="16"/>
  <c r="G80" i="16"/>
  <c r="I57" i="7"/>
  <c r="I60" i="7" s="1"/>
  <c r="F80" i="6"/>
  <c r="F76" i="6"/>
  <c r="F81" i="6"/>
  <c r="F26" i="6"/>
  <c r="F54" i="6"/>
  <c r="F79" i="6"/>
  <c r="F78" i="6"/>
  <c r="F75" i="6"/>
  <c r="F118" i="6"/>
  <c r="F77" i="6"/>
  <c r="M60" i="10"/>
  <c r="M63" i="10" s="1"/>
  <c r="F57" i="11"/>
  <c r="F60" i="11" s="1"/>
  <c r="K81" i="16"/>
  <c r="K80" i="16"/>
  <c r="K79" i="16"/>
  <c r="K78" i="16"/>
  <c r="K77" i="16"/>
  <c r="L104" i="12"/>
  <c r="L90" i="12"/>
  <c r="L85" i="12"/>
  <c r="L97" i="12"/>
  <c r="L92" i="12"/>
  <c r="L95" i="12"/>
  <c r="L98" i="12"/>
  <c r="L105" i="12"/>
  <c r="L82" i="12"/>
  <c r="L87" i="12"/>
  <c r="L86" i="12"/>
  <c r="L96" i="12"/>
  <c r="L99" i="12"/>
  <c r="L102" i="12"/>
  <c r="L84" i="12"/>
  <c r="L88" i="12"/>
  <c r="L91" i="12"/>
  <c r="L100" i="12"/>
  <c r="L94" i="12"/>
  <c r="L103" i="12"/>
  <c r="L101" i="12"/>
  <c r="L83" i="12"/>
  <c r="F57" i="13"/>
  <c r="F60" i="13" s="1"/>
  <c r="I94" i="12"/>
  <c r="I101" i="12"/>
  <c r="I88" i="12"/>
  <c r="I97" i="12"/>
  <c r="I90" i="12"/>
  <c r="I103" i="12"/>
  <c r="I96" i="12"/>
  <c r="I82" i="12"/>
  <c r="I92" i="12"/>
  <c r="I105" i="12"/>
  <c r="I87" i="12"/>
  <c r="I100" i="12"/>
  <c r="I99" i="12"/>
  <c r="I102" i="12"/>
  <c r="I83" i="12"/>
  <c r="I91" i="12"/>
  <c r="I84" i="12"/>
  <c r="I104" i="12"/>
  <c r="I86" i="12"/>
  <c r="I95" i="12"/>
  <c r="I98" i="12"/>
  <c r="I85" i="12"/>
  <c r="C98" i="4"/>
  <c r="C10" i="14" s="1"/>
  <c r="C6" i="14"/>
  <c r="C8" i="8"/>
  <c r="C8" i="19"/>
  <c r="C105" i="4"/>
  <c r="C104" i="4"/>
  <c r="N15" i="14" s="1"/>
  <c r="C97" i="4"/>
  <c r="G89" i="12"/>
  <c r="G93" i="12"/>
  <c r="H57" i="7"/>
  <c r="H60" i="7" s="1"/>
  <c r="E23" i="6"/>
  <c r="E22" i="6"/>
  <c r="D21" i="6"/>
  <c r="E32" i="6"/>
  <c r="D60" i="16"/>
  <c r="D63" i="16" s="1"/>
  <c r="N60" i="10"/>
  <c r="N63" i="10" s="1"/>
  <c r="J60" i="12"/>
  <c r="J63" i="12" s="1"/>
  <c r="L60" i="12"/>
  <c r="L63" i="12" s="1"/>
  <c r="H52" i="11"/>
  <c r="J97" i="13"/>
  <c r="J101" i="13"/>
  <c r="J94" i="13"/>
  <c r="J80" i="13"/>
  <c r="J100" i="13"/>
  <c r="J81" i="13"/>
  <c r="J82" i="13"/>
  <c r="J85" i="13"/>
  <c r="J89" i="13"/>
  <c r="J87" i="13"/>
  <c r="J102" i="13"/>
  <c r="J95" i="13"/>
  <c r="J88" i="13"/>
  <c r="J79" i="13"/>
  <c r="J92" i="13"/>
  <c r="J84" i="13"/>
  <c r="J91" i="13"/>
  <c r="J99" i="13"/>
  <c r="J98" i="13"/>
  <c r="J96" i="13"/>
  <c r="J93" i="13"/>
  <c r="J83" i="13"/>
  <c r="C6" i="6"/>
  <c r="C28" i="4"/>
  <c r="C10" i="6" s="1"/>
  <c r="C47" i="4"/>
  <c r="C14" i="4"/>
  <c r="C42" i="4"/>
  <c r="N15" i="6" s="1"/>
  <c r="C24" i="4"/>
  <c r="C30" i="4" s="1"/>
  <c r="C33" i="4"/>
  <c r="C8" i="6" s="1"/>
  <c r="C9" i="6" s="1"/>
  <c r="J60" i="6"/>
  <c r="J63" i="6" s="1"/>
  <c r="H60" i="14"/>
  <c r="H63" i="14" s="1"/>
  <c r="G90" i="7"/>
  <c r="G86" i="7"/>
  <c r="M100" i="12"/>
  <c r="M86" i="12"/>
  <c r="M92" i="12"/>
  <c r="M104" i="12"/>
  <c r="M98" i="12"/>
  <c r="M82" i="12"/>
  <c r="M105" i="12"/>
  <c r="M87" i="12"/>
  <c r="M95" i="12"/>
  <c r="M96" i="12"/>
  <c r="M85" i="12"/>
  <c r="M99" i="12"/>
  <c r="M102" i="12"/>
  <c r="M83" i="12"/>
  <c r="M88" i="12"/>
  <c r="M90" i="12"/>
  <c r="M97" i="12"/>
  <c r="M103" i="12"/>
  <c r="M84" i="12"/>
  <c r="M91" i="12"/>
  <c r="M94" i="12"/>
  <c r="M101" i="12"/>
  <c r="E57" i="7"/>
  <c r="E60" i="7" s="1"/>
  <c r="F57" i="7"/>
  <c r="F60" i="7" s="1"/>
  <c r="F60" i="10"/>
  <c r="F63" i="10" s="1"/>
  <c r="G86" i="13"/>
  <c r="G90" i="13"/>
  <c r="K5" i="7"/>
  <c r="J107" i="7"/>
  <c r="K50" i="7"/>
  <c r="E106" i="7"/>
  <c r="N107" i="7"/>
  <c r="F106" i="7"/>
  <c r="D103" i="7"/>
  <c r="E55" i="7"/>
  <c r="E56" i="7" s="1"/>
  <c r="C106" i="7"/>
  <c r="C113" i="7" s="1"/>
  <c r="G104" i="7"/>
  <c r="J55" i="7"/>
  <c r="J56" i="7" s="1"/>
  <c r="M107" i="7"/>
  <c r="G50" i="7"/>
  <c r="G52" i="7" s="1"/>
  <c r="G116" i="7" s="1"/>
  <c r="G106" i="7"/>
  <c r="G111" i="7" s="1"/>
  <c r="K104" i="7"/>
  <c r="J50" i="7"/>
  <c r="J52" i="7" s="1"/>
  <c r="J116" i="7" s="1"/>
  <c r="H106" i="7"/>
  <c r="H110" i="7" s="1"/>
  <c r="L106" i="7"/>
  <c r="C105" i="7"/>
  <c r="D104" i="7"/>
  <c r="I106" i="7"/>
  <c r="C53" i="7"/>
  <c r="C54" i="7" s="1"/>
  <c r="N106" i="7"/>
  <c r="G105" i="7"/>
  <c r="H104" i="7"/>
  <c r="D55" i="7"/>
  <c r="J53" i="7"/>
  <c r="J54" i="7" s="1"/>
  <c r="J103" i="7"/>
  <c r="E50" i="7"/>
  <c r="E52" i="7" s="1"/>
  <c r="E116" i="7" s="1"/>
  <c r="K105" i="7"/>
  <c r="L104" i="7"/>
  <c r="L55" i="7"/>
  <c r="H107" i="7"/>
  <c r="C55" i="7"/>
  <c r="C56" i="7" s="1"/>
  <c r="I50" i="7"/>
  <c r="I52" i="7" s="1"/>
  <c r="I116" i="7" s="1"/>
  <c r="I117" i="7" s="1"/>
  <c r="L103" i="7"/>
  <c r="D105" i="7"/>
  <c r="E104" i="7"/>
  <c r="I107" i="7"/>
  <c r="L50" i="7"/>
  <c r="H105" i="7"/>
  <c r="I104" i="7"/>
  <c r="J106" i="7"/>
  <c r="J110" i="7" s="1"/>
  <c r="G55" i="7"/>
  <c r="G56" i="7" s="1"/>
  <c r="M50" i="7"/>
  <c r="N53" i="7"/>
  <c r="N54" i="7" s="1"/>
  <c r="L105" i="7"/>
  <c r="M104" i="7"/>
  <c r="G112" i="7"/>
  <c r="H103" i="7"/>
  <c r="H111" i="7" s="1"/>
  <c r="I55" i="7"/>
  <c r="I56" i="7" s="1"/>
  <c r="C107" i="7"/>
  <c r="E105" i="7"/>
  <c r="C111" i="7"/>
  <c r="N108" i="7"/>
  <c r="I103" i="7"/>
  <c r="K55" i="7"/>
  <c r="F55" i="7"/>
  <c r="F56" i="7" s="1"/>
  <c r="G103" i="7"/>
  <c r="I105" i="7"/>
  <c r="C103" i="7"/>
  <c r="E107" i="7"/>
  <c r="M55" i="7"/>
  <c r="N55" i="7"/>
  <c r="N56" i="7" s="1"/>
  <c r="M105" i="7"/>
  <c r="D107" i="7"/>
  <c r="F103" i="7"/>
  <c r="F50" i="7"/>
  <c r="F52" i="7" s="1"/>
  <c r="F116" i="7" s="1"/>
  <c r="F104" i="7"/>
  <c r="E103" i="7"/>
  <c r="K106" i="7"/>
  <c r="G107" i="7"/>
  <c r="N50" i="7"/>
  <c r="N52" i="7" s="1"/>
  <c r="N116" i="7" s="1"/>
  <c r="F105" i="7"/>
  <c r="J104" i="7"/>
  <c r="D50" i="7"/>
  <c r="M106" i="7"/>
  <c r="K103" i="7"/>
  <c r="D106" i="7"/>
  <c r="J105" i="7"/>
  <c r="N104" i="7"/>
  <c r="N103" i="7"/>
  <c r="N109" i="7" s="1"/>
  <c r="L107" i="7"/>
  <c r="H55" i="7"/>
  <c r="H56" i="7" s="1"/>
  <c r="H50" i="7"/>
  <c r="H52" i="7" s="1"/>
  <c r="H116" i="7" s="1"/>
  <c r="F107" i="7"/>
  <c r="N105" i="7"/>
  <c r="C50" i="7"/>
  <c r="C52" i="7" s="1"/>
  <c r="C116" i="7" s="1"/>
  <c r="M103" i="7"/>
  <c r="C104" i="7"/>
  <c r="K107" i="7"/>
  <c r="I53" i="7"/>
  <c r="I54" i="7" s="1"/>
  <c r="I112" i="7"/>
  <c r="H109" i="7"/>
  <c r="I108" i="7"/>
  <c r="I114" i="7" s="1"/>
  <c r="I45" i="7" s="1"/>
  <c r="I24" i="7" s="1"/>
  <c r="I29" i="7" s="1"/>
  <c r="I32" i="7" s="1"/>
  <c r="H112" i="7"/>
  <c r="G113" i="7"/>
  <c r="I113" i="7"/>
  <c r="H113" i="7"/>
  <c r="I111" i="7"/>
  <c r="I109" i="7"/>
  <c r="H108" i="7"/>
  <c r="G110" i="7"/>
  <c r="I110" i="7"/>
  <c r="J109" i="7"/>
  <c r="G109" i="7"/>
  <c r="H53" i="7"/>
  <c r="H54" i="7" s="1"/>
  <c r="G53" i="7"/>
  <c r="G54" i="7" s="1"/>
  <c r="H57" i="11"/>
  <c r="H60" i="11" s="1"/>
  <c r="I57" i="11"/>
  <c r="I60" i="11" s="1"/>
  <c r="D104" i="12"/>
  <c r="D85" i="12"/>
  <c r="D99" i="12"/>
  <c r="D82" i="12"/>
  <c r="D102" i="12"/>
  <c r="D87" i="12"/>
  <c r="D84" i="12"/>
  <c r="D88" i="12"/>
  <c r="D90" i="12"/>
  <c r="D83" i="12"/>
  <c r="D91" i="12"/>
  <c r="D97" i="12"/>
  <c r="D100" i="12"/>
  <c r="D103" i="12"/>
  <c r="D94" i="12"/>
  <c r="D92" i="12"/>
  <c r="D101" i="12"/>
  <c r="D96" i="12"/>
  <c r="D86" i="12"/>
  <c r="D95" i="12"/>
  <c r="D98" i="12"/>
  <c r="D105" i="12"/>
  <c r="E57" i="13"/>
  <c r="E60" i="13" s="1"/>
  <c r="F89" i="12"/>
  <c r="F93" i="12"/>
  <c r="E11" i="4"/>
  <c r="E95" i="4"/>
  <c r="L79" i="16"/>
  <c r="L81" i="16"/>
  <c r="L77" i="16"/>
  <c r="L78" i="16"/>
  <c r="L80" i="16"/>
  <c r="H60" i="6"/>
  <c r="H63" i="6" s="1"/>
  <c r="K83" i="12"/>
  <c r="K84" i="12"/>
  <c r="K85" i="12"/>
  <c r="K87" i="12"/>
  <c r="K88" i="12"/>
  <c r="K91" i="12"/>
  <c r="K92" i="12"/>
  <c r="K105" i="12"/>
  <c r="K90" i="12"/>
  <c r="K97" i="12"/>
  <c r="K98" i="12"/>
  <c r="K104" i="12"/>
  <c r="K86" i="12"/>
  <c r="K94" i="12"/>
  <c r="K103" i="12"/>
  <c r="K95" i="12"/>
  <c r="K100" i="12"/>
  <c r="K101" i="12"/>
  <c r="K99" i="12"/>
  <c r="K82" i="12"/>
  <c r="K96" i="12"/>
  <c r="K102" i="12"/>
  <c r="F81" i="16"/>
  <c r="F78" i="16"/>
  <c r="F77" i="16"/>
  <c r="F80" i="16"/>
  <c r="F79" i="16"/>
  <c r="N60" i="16"/>
  <c r="N63" i="16" s="1"/>
  <c r="E60" i="16"/>
  <c r="E63" i="16" s="1"/>
  <c r="D60" i="10"/>
  <c r="D63" i="10" s="1"/>
  <c r="G60" i="12"/>
  <c r="G63" i="12" s="1"/>
  <c r="E60" i="12"/>
  <c r="E63" i="12" s="1"/>
  <c r="J36" i="11" l="1"/>
  <c r="J38" i="11" s="1"/>
  <c r="J34" i="11" s="1"/>
  <c r="J37" i="11"/>
  <c r="J33" i="11"/>
  <c r="J35" i="11" s="1"/>
  <c r="F117" i="11"/>
  <c r="K31" i="14"/>
  <c r="I31" i="14"/>
  <c r="I33" i="14" s="1"/>
  <c r="H31" i="14"/>
  <c r="M31" i="14"/>
  <c r="M33" i="14" s="1"/>
  <c r="G31" i="14"/>
  <c r="G33" i="14" s="1"/>
  <c r="F31" i="14"/>
  <c r="C31" i="14"/>
  <c r="C33" i="14" s="1"/>
  <c r="E31" i="14"/>
  <c r="E33" i="14" s="1"/>
  <c r="J31" i="14"/>
  <c r="J33" i="14" s="1"/>
  <c r="D31" i="14"/>
  <c r="L31" i="14"/>
  <c r="N108" i="11"/>
  <c r="J92" i="16"/>
  <c r="J88" i="16"/>
  <c r="J103" i="16"/>
  <c r="J96" i="16"/>
  <c r="J94" i="16"/>
  <c r="J104" i="16"/>
  <c r="J84" i="16"/>
  <c r="J99" i="16"/>
  <c r="J91" i="16"/>
  <c r="J102" i="16"/>
  <c r="J82" i="16"/>
  <c r="J101" i="16"/>
  <c r="J87" i="16"/>
  <c r="J86" i="16"/>
  <c r="J85" i="16"/>
  <c r="J83" i="16"/>
  <c r="J95" i="16"/>
  <c r="J98" i="16"/>
  <c r="J105" i="16"/>
  <c r="J90" i="16"/>
  <c r="J97" i="16"/>
  <c r="J100" i="16"/>
  <c r="F86" i="7"/>
  <c r="F90" i="7"/>
  <c r="N114" i="7"/>
  <c r="N45" i="7" s="1"/>
  <c r="N24" i="7" s="1"/>
  <c r="N29" i="7" s="1"/>
  <c r="N32" i="7" s="1"/>
  <c r="G92" i="16"/>
  <c r="G90" i="16"/>
  <c r="G85" i="16"/>
  <c r="G98" i="16"/>
  <c r="G86" i="16"/>
  <c r="G82" i="16"/>
  <c r="G88" i="16"/>
  <c r="G104" i="16"/>
  <c r="G95" i="16"/>
  <c r="G91" i="16"/>
  <c r="G102" i="16"/>
  <c r="G83" i="16"/>
  <c r="G103" i="16"/>
  <c r="G84" i="16"/>
  <c r="G96" i="16"/>
  <c r="G99" i="16"/>
  <c r="G94" i="16"/>
  <c r="G105" i="16"/>
  <c r="G101" i="16"/>
  <c r="G87" i="16"/>
  <c r="G97" i="16"/>
  <c r="G100" i="16"/>
  <c r="D114" i="11"/>
  <c r="D45" i="11" s="1"/>
  <c r="D24" i="11" s="1"/>
  <c r="D29" i="11" s="1"/>
  <c r="D32" i="11" s="1"/>
  <c r="E76" i="7"/>
  <c r="E75" i="7"/>
  <c r="E78" i="7"/>
  <c r="E74" i="7"/>
  <c r="E77" i="7"/>
  <c r="I31" i="15"/>
  <c r="I33" i="15" s="1"/>
  <c r="J31" i="15"/>
  <c r="C31" i="15"/>
  <c r="G31" i="15"/>
  <c r="M31" i="15"/>
  <c r="H31" i="15"/>
  <c r="L31" i="15"/>
  <c r="F31" i="15"/>
  <c r="E31" i="15"/>
  <c r="D31" i="15"/>
  <c r="K31" i="15"/>
  <c r="K31" i="6"/>
  <c r="M31" i="6"/>
  <c r="F31" i="6"/>
  <c r="F33" i="6" s="1"/>
  <c r="L31" i="6"/>
  <c r="J31" i="6"/>
  <c r="C31" i="6"/>
  <c r="C33" i="6" s="1"/>
  <c r="E31" i="6"/>
  <c r="E33" i="6" s="1"/>
  <c r="I31" i="6"/>
  <c r="G31" i="6"/>
  <c r="H31" i="6"/>
  <c r="D31" i="6"/>
  <c r="J117" i="11"/>
  <c r="D33" i="10"/>
  <c r="N113" i="7"/>
  <c r="J112" i="7"/>
  <c r="G93" i="16"/>
  <c r="G89" i="16"/>
  <c r="E33" i="10"/>
  <c r="H93" i="16"/>
  <c r="H89" i="16"/>
  <c r="N111" i="7"/>
  <c r="J111" i="7"/>
  <c r="J113" i="7"/>
  <c r="G32" i="14"/>
  <c r="L32" i="14"/>
  <c r="C32" i="14"/>
  <c r="I32" i="14"/>
  <c r="H64" i="14"/>
  <c r="J32" i="14"/>
  <c r="N64" i="14"/>
  <c r="H32" i="14"/>
  <c r="M32" i="14"/>
  <c r="F32" i="14"/>
  <c r="D64" i="14"/>
  <c r="M64" i="14"/>
  <c r="D17" i="14"/>
  <c r="G64" i="14"/>
  <c r="C64" i="14"/>
  <c r="E32" i="14"/>
  <c r="E64" i="14"/>
  <c r="D32" i="14"/>
  <c r="F64" i="14"/>
  <c r="L64" i="14"/>
  <c r="I64" i="14"/>
  <c r="J64" i="14"/>
  <c r="K32" i="14"/>
  <c r="K64" i="14"/>
  <c r="D18" i="14"/>
  <c r="C8" i="14"/>
  <c r="C9" i="14" s="1"/>
  <c r="C11" i="14"/>
  <c r="F108" i="11"/>
  <c r="F114" i="11" s="1"/>
  <c r="F45" i="11" s="1"/>
  <c r="F24" i="11" s="1"/>
  <c r="F29" i="11" s="1"/>
  <c r="F32" i="11" s="1"/>
  <c r="H111" i="11"/>
  <c r="C109" i="11"/>
  <c r="C113" i="11"/>
  <c r="C116" i="11"/>
  <c r="G33" i="10"/>
  <c r="H82" i="16"/>
  <c r="H91" i="16"/>
  <c r="H86" i="16"/>
  <c r="H85" i="16"/>
  <c r="H98" i="16"/>
  <c r="H94" i="16"/>
  <c r="H84" i="16"/>
  <c r="H92" i="16"/>
  <c r="H96" i="16"/>
  <c r="H104" i="16"/>
  <c r="H100" i="16"/>
  <c r="H101" i="16"/>
  <c r="H87" i="16"/>
  <c r="H83" i="16"/>
  <c r="H102" i="16"/>
  <c r="H95" i="16"/>
  <c r="H90" i="16"/>
  <c r="H88" i="16"/>
  <c r="H103" i="16"/>
  <c r="H99" i="16"/>
  <c r="H105" i="16"/>
  <c r="H97" i="16"/>
  <c r="I37" i="7"/>
  <c r="I36" i="7"/>
  <c r="I38" i="7" s="1"/>
  <c r="I33" i="7"/>
  <c r="I36" i="11"/>
  <c r="I38" i="11" s="1"/>
  <c r="I34" i="11" s="1"/>
  <c r="I33" i="11"/>
  <c r="I35" i="11" s="1"/>
  <c r="P25" i="11" s="1"/>
  <c r="I37" i="11"/>
  <c r="L63" i="15"/>
  <c r="E39" i="13"/>
  <c r="F39" i="13"/>
  <c r="J39" i="13"/>
  <c r="H39" i="13"/>
  <c r="G39" i="13"/>
  <c r="I39" i="13"/>
  <c r="D39" i="13"/>
  <c r="C39" i="13"/>
  <c r="N39" i="13"/>
  <c r="F33" i="10"/>
  <c r="E86" i="16"/>
  <c r="E98" i="16"/>
  <c r="E90" i="16"/>
  <c r="E103" i="16"/>
  <c r="E94" i="16"/>
  <c r="E97" i="16"/>
  <c r="E101" i="16"/>
  <c r="E104" i="16"/>
  <c r="E84" i="16"/>
  <c r="E87" i="16"/>
  <c r="E82" i="16"/>
  <c r="E88" i="16"/>
  <c r="E91" i="16"/>
  <c r="E96" i="16"/>
  <c r="E99" i="16"/>
  <c r="E102" i="16"/>
  <c r="E85" i="16"/>
  <c r="E105" i="16"/>
  <c r="E92" i="16"/>
  <c r="E100" i="16"/>
  <c r="E83" i="16"/>
  <c r="E95" i="16"/>
  <c r="L103" i="16"/>
  <c r="L86" i="16"/>
  <c r="L102" i="16"/>
  <c r="L95" i="16"/>
  <c r="L98" i="16"/>
  <c r="L105" i="16"/>
  <c r="L94" i="16"/>
  <c r="L104" i="16"/>
  <c r="L99" i="16"/>
  <c r="L82" i="16"/>
  <c r="L84" i="16"/>
  <c r="L87" i="16"/>
  <c r="L101" i="16"/>
  <c r="L91" i="16"/>
  <c r="L96" i="16"/>
  <c r="L85" i="16"/>
  <c r="L83" i="16"/>
  <c r="L92" i="16"/>
  <c r="L88" i="16"/>
  <c r="L97" i="16"/>
  <c r="L100" i="16"/>
  <c r="L90" i="16"/>
  <c r="C112" i="7"/>
  <c r="K64" i="6"/>
  <c r="E64" i="6"/>
  <c r="C32" i="6"/>
  <c r="L32" i="6"/>
  <c r="J32" i="6"/>
  <c r="M32" i="6"/>
  <c r="I32" i="6"/>
  <c r="G64" i="6"/>
  <c r="J64" i="6"/>
  <c r="I64" i="6"/>
  <c r="H64" i="6"/>
  <c r="C64" i="6"/>
  <c r="L64" i="6"/>
  <c r="D64" i="6"/>
  <c r="N64" i="6"/>
  <c r="M64" i="6"/>
  <c r="F64" i="6"/>
  <c r="D17" i="6"/>
  <c r="K32" i="6"/>
  <c r="H32" i="6"/>
  <c r="D18" i="6"/>
  <c r="C11" i="6"/>
  <c r="G32" i="6"/>
  <c r="F32" i="6"/>
  <c r="D32" i="6"/>
  <c r="D22" i="6"/>
  <c r="D23" i="6"/>
  <c r="C12" i="10"/>
  <c r="C70" i="10"/>
  <c r="C74" i="10"/>
  <c r="E74" i="10" s="1"/>
  <c r="G74" i="10"/>
  <c r="G73" i="10"/>
  <c r="E69" i="10"/>
  <c r="E73" i="10" s="1"/>
  <c r="K4" i="10" s="1"/>
  <c r="C69" i="10"/>
  <c r="C73" i="10" s="1"/>
  <c r="K3" i="10" s="1"/>
  <c r="H112" i="11"/>
  <c r="D91" i="16"/>
  <c r="D88" i="16"/>
  <c r="D97" i="16"/>
  <c r="D99" i="16"/>
  <c r="D100" i="16"/>
  <c r="D103" i="16"/>
  <c r="D104" i="16"/>
  <c r="D84" i="16"/>
  <c r="D95" i="16"/>
  <c r="D98" i="16"/>
  <c r="D105" i="16"/>
  <c r="D92" i="16"/>
  <c r="D102" i="16"/>
  <c r="D96" i="16"/>
  <c r="D85" i="16"/>
  <c r="D82" i="16"/>
  <c r="D87" i="16"/>
  <c r="D83" i="16"/>
  <c r="D86" i="16"/>
  <c r="D90" i="16"/>
  <c r="D94" i="16"/>
  <c r="D101" i="16"/>
  <c r="H33" i="10"/>
  <c r="E89" i="16"/>
  <c r="E93" i="16"/>
  <c r="K64" i="15"/>
  <c r="M32" i="15"/>
  <c r="I32" i="15"/>
  <c r="G64" i="15"/>
  <c r="J32" i="15"/>
  <c r="D17" i="15"/>
  <c r="E64" i="15"/>
  <c r="N64" i="15"/>
  <c r="C64" i="15"/>
  <c r="H32" i="15"/>
  <c r="M64" i="15"/>
  <c r="C32" i="15"/>
  <c r="I64" i="15"/>
  <c r="L32" i="15"/>
  <c r="D64" i="15"/>
  <c r="H64" i="15"/>
  <c r="D18" i="15"/>
  <c r="G32" i="15"/>
  <c r="L64" i="15"/>
  <c r="F64" i="15"/>
  <c r="J64" i="15"/>
  <c r="F32" i="15"/>
  <c r="E32" i="15"/>
  <c r="D32" i="15"/>
  <c r="K32" i="15"/>
  <c r="C8" i="15"/>
  <c r="C9" i="15" s="1"/>
  <c r="C11" i="15"/>
  <c r="H114" i="7"/>
  <c r="H45" i="7" s="1"/>
  <c r="H24" i="7" s="1"/>
  <c r="H29" i="7" s="1"/>
  <c r="H32" i="7" s="1"/>
  <c r="E80" i="6"/>
  <c r="E26" i="6"/>
  <c r="E54" i="6"/>
  <c r="E78" i="6"/>
  <c r="E118" i="6"/>
  <c r="E77" i="6"/>
  <c r="E76" i="6"/>
  <c r="E79" i="6"/>
  <c r="E81" i="6"/>
  <c r="E75" i="6"/>
  <c r="E62" i="6"/>
  <c r="F112" i="11"/>
  <c r="E109" i="11"/>
  <c r="E114" i="11" s="1"/>
  <c r="G60" i="15"/>
  <c r="G63" i="15" s="1"/>
  <c r="I33" i="10"/>
  <c r="I91" i="16"/>
  <c r="I84" i="16"/>
  <c r="I99" i="16"/>
  <c r="I101" i="16"/>
  <c r="I104" i="16"/>
  <c r="I83" i="16"/>
  <c r="I86" i="16"/>
  <c r="I90" i="16"/>
  <c r="I96" i="16"/>
  <c r="I102" i="16"/>
  <c r="I87" i="16"/>
  <c r="I95" i="16"/>
  <c r="I98" i="16"/>
  <c r="I97" i="16"/>
  <c r="I85" i="16"/>
  <c r="I103" i="16"/>
  <c r="I92" i="16"/>
  <c r="I105" i="16"/>
  <c r="I82" i="16"/>
  <c r="I100" i="16"/>
  <c r="I88" i="16"/>
  <c r="I94" i="16"/>
  <c r="K84" i="16"/>
  <c r="K90" i="16"/>
  <c r="K85" i="16"/>
  <c r="K82" i="16"/>
  <c r="K87" i="16"/>
  <c r="K88" i="16"/>
  <c r="K86" i="16"/>
  <c r="K91" i="16"/>
  <c r="K83" i="16"/>
  <c r="K92" i="16"/>
  <c r="K100" i="16"/>
  <c r="K99" i="16"/>
  <c r="K104" i="16"/>
  <c r="K97" i="16"/>
  <c r="K103" i="16"/>
  <c r="K105" i="16"/>
  <c r="K95" i="16"/>
  <c r="K98" i="16"/>
  <c r="K96" i="16"/>
  <c r="K102" i="16"/>
  <c r="K94" i="16"/>
  <c r="K101" i="16"/>
  <c r="G114" i="11"/>
  <c r="G45" i="11" s="1"/>
  <c r="G24" i="11" s="1"/>
  <c r="G29" i="11" s="1"/>
  <c r="G32" i="11" s="1"/>
  <c r="H108" i="11"/>
  <c r="H114" i="11" s="1"/>
  <c r="H45" i="11" s="1"/>
  <c r="H24" i="11" s="1"/>
  <c r="H29" i="11" s="1"/>
  <c r="H32" i="11" s="1"/>
  <c r="E60" i="15"/>
  <c r="E63" i="15" s="1"/>
  <c r="D89" i="16"/>
  <c r="D93" i="16"/>
  <c r="J33" i="10"/>
  <c r="M100" i="16"/>
  <c r="M105" i="16"/>
  <c r="M104" i="16"/>
  <c r="M90" i="16"/>
  <c r="M92" i="16"/>
  <c r="M95" i="16"/>
  <c r="M102" i="16"/>
  <c r="M98" i="16"/>
  <c r="M85" i="16"/>
  <c r="M97" i="16"/>
  <c r="M83" i="16"/>
  <c r="M96" i="16"/>
  <c r="M103" i="16"/>
  <c r="M86" i="16"/>
  <c r="M87" i="16"/>
  <c r="M101" i="16"/>
  <c r="M84" i="16"/>
  <c r="M94" i="16"/>
  <c r="M99" i="16"/>
  <c r="M88" i="16"/>
  <c r="M91" i="16"/>
  <c r="M82" i="16"/>
  <c r="N112" i="7"/>
  <c r="N110" i="7"/>
  <c r="K89" i="16"/>
  <c r="K93" i="16"/>
  <c r="F111" i="11"/>
  <c r="F60" i="15"/>
  <c r="F63" i="15" s="1"/>
  <c r="M33" i="10"/>
  <c r="I89" i="16"/>
  <c r="I93" i="16"/>
  <c r="H109" i="11"/>
  <c r="J60" i="15"/>
  <c r="J63" i="15" s="1"/>
  <c r="L33" i="10"/>
  <c r="M89" i="16"/>
  <c r="M93" i="16"/>
  <c r="J108" i="7"/>
  <c r="J114" i="7" s="1"/>
  <c r="J45" i="7" s="1"/>
  <c r="J24" i="7" s="1"/>
  <c r="J29" i="7" s="1"/>
  <c r="J32" i="7" s="1"/>
  <c r="G116" i="11"/>
  <c r="C60" i="15"/>
  <c r="C63" i="15" s="1"/>
  <c r="C33" i="10"/>
  <c r="F89" i="6"/>
  <c r="F93" i="6"/>
  <c r="G109" i="11"/>
  <c r="D73" i="7"/>
  <c r="D26" i="7"/>
  <c r="D72" i="7"/>
  <c r="D56" i="7"/>
  <c r="D115" i="7"/>
  <c r="D51" i="7"/>
  <c r="D52" i="7" s="1"/>
  <c r="D116" i="7" s="1"/>
  <c r="D53" i="7"/>
  <c r="D54" i="7" s="1"/>
  <c r="D59" i="7"/>
  <c r="D60" i="7" s="1"/>
  <c r="K33" i="10"/>
  <c r="D46" i="4"/>
  <c r="F99" i="16"/>
  <c r="F102" i="16"/>
  <c r="F105" i="16"/>
  <c r="F85" i="16"/>
  <c r="F86" i="16"/>
  <c r="F84" i="16"/>
  <c r="F95" i="16"/>
  <c r="F98" i="16"/>
  <c r="F88" i="16"/>
  <c r="F91" i="16"/>
  <c r="F92" i="16"/>
  <c r="F97" i="16"/>
  <c r="F100" i="16"/>
  <c r="F103" i="16"/>
  <c r="F90" i="16"/>
  <c r="F101" i="16"/>
  <c r="F83" i="16"/>
  <c r="F96" i="16"/>
  <c r="F82" i="16"/>
  <c r="F94" i="16"/>
  <c r="F87" i="16"/>
  <c r="F104" i="16"/>
  <c r="C110" i="7"/>
  <c r="C6" i="16"/>
  <c r="E8" i="19"/>
  <c r="E8" i="8"/>
  <c r="E98" i="4"/>
  <c r="C10" i="16" s="1"/>
  <c r="E104" i="4"/>
  <c r="N15" i="16" s="1"/>
  <c r="E105" i="4"/>
  <c r="E97" i="4"/>
  <c r="F109" i="7"/>
  <c r="G108" i="7"/>
  <c r="G114" i="7" s="1"/>
  <c r="G45" i="7" s="1"/>
  <c r="G24" i="7" s="1"/>
  <c r="G29" i="7" s="1"/>
  <c r="G32" i="7" s="1"/>
  <c r="I34" i="7"/>
  <c r="H116" i="11"/>
  <c r="H117" i="11" s="1"/>
  <c r="E111" i="11"/>
  <c r="C108" i="11"/>
  <c r="C114" i="11" s="1"/>
  <c r="C45" i="11" s="1"/>
  <c r="C24" i="11" s="1"/>
  <c r="C29" i="11" s="1"/>
  <c r="C32" i="11" s="1"/>
  <c r="N110" i="11"/>
  <c r="J93" i="16"/>
  <c r="J89" i="16"/>
  <c r="K60" i="15"/>
  <c r="K63" i="15" s="1"/>
  <c r="F88" i="7"/>
  <c r="F93" i="7"/>
  <c r="F80" i="7"/>
  <c r="F108" i="7" s="1"/>
  <c r="F95" i="7"/>
  <c r="F102" i="7"/>
  <c r="F79" i="7"/>
  <c r="F87" i="7"/>
  <c r="F85" i="7"/>
  <c r="F83" i="7"/>
  <c r="F81" i="7"/>
  <c r="F84" i="7"/>
  <c r="F82" i="7"/>
  <c r="F89" i="7"/>
  <c r="F91" i="7"/>
  <c r="F100" i="7"/>
  <c r="F101" i="7"/>
  <c r="F92" i="7"/>
  <c r="F111" i="7" s="1"/>
  <c r="F94" i="7"/>
  <c r="F96" i="7"/>
  <c r="F97" i="7"/>
  <c r="F98" i="7"/>
  <c r="F99" i="7"/>
  <c r="C109" i="7"/>
  <c r="E60" i="6"/>
  <c r="E63" i="6" s="1"/>
  <c r="F100" i="6"/>
  <c r="F87" i="6"/>
  <c r="F96" i="6"/>
  <c r="F97" i="6"/>
  <c r="F98" i="6"/>
  <c r="F99" i="6"/>
  <c r="F101" i="6"/>
  <c r="F102" i="6"/>
  <c r="F91" i="6"/>
  <c r="F103" i="6"/>
  <c r="F84" i="6"/>
  <c r="F104" i="6"/>
  <c r="F83" i="6"/>
  <c r="F105" i="6"/>
  <c r="F85" i="6"/>
  <c r="F90" i="6"/>
  <c r="F92" i="6"/>
  <c r="F88" i="6"/>
  <c r="F82" i="6"/>
  <c r="F86" i="6"/>
  <c r="F94" i="6"/>
  <c r="F95" i="6"/>
  <c r="N112" i="11"/>
  <c r="J40" i="11"/>
  <c r="M60" i="15"/>
  <c r="M63" i="15" s="1"/>
  <c r="H60" i="15"/>
  <c r="H63" i="15" s="1"/>
  <c r="I40" i="7"/>
  <c r="L93" i="16"/>
  <c r="L89" i="16"/>
  <c r="F93" i="16"/>
  <c r="F89" i="16"/>
  <c r="C6" i="12"/>
  <c r="E42" i="4"/>
  <c r="N15" i="12" s="1"/>
  <c r="E14" i="4"/>
  <c r="E47" i="4"/>
  <c r="E28" i="4"/>
  <c r="C10" i="12" s="1"/>
  <c r="E24" i="4"/>
  <c r="E30" i="4" s="1"/>
  <c r="E33" i="4"/>
  <c r="C8" i="12" s="1"/>
  <c r="C9" i="12" s="1"/>
  <c r="C108" i="7"/>
  <c r="E106" i="13"/>
  <c r="N53" i="13"/>
  <c r="N54" i="13" s="1"/>
  <c r="I55" i="13"/>
  <c r="I56" i="13" s="1"/>
  <c r="C106" i="13"/>
  <c r="C111" i="13" s="1"/>
  <c r="M55" i="13"/>
  <c r="I105" i="13"/>
  <c r="H104" i="13"/>
  <c r="E55" i="13"/>
  <c r="E56" i="13" s="1"/>
  <c r="I107" i="13"/>
  <c r="I113" i="13" s="1"/>
  <c r="J106" i="13"/>
  <c r="J109" i="13" s="1"/>
  <c r="H105" i="13"/>
  <c r="H103" i="13"/>
  <c r="N107" i="13"/>
  <c r="N111" i="13" s="1"/>
  <c r="D104" i="13"/>
  <c r="E104" i="13"/>
  <c r="G50" i="13"/>
  <c r="G52" i="13" s="1"/>
  <c r="G116" i="13" s="1"/>
  <c r="K107" i="13"/>
  <c r="L104" i="13"/>
  <c r="M104" i="13"/>
  <c r="C50" i="13"/>
  <c r="C52" i="13" s="1"/>
  <c r="G105" i="13"/>
  <c r="G103" i="13"/>
  <c r="J55" i="13"/>
  <c r="J56" i="13" s="1"/>
  <c r="N55" i="13"/>
  <c r="N56" i="13" s="1"/>
  <c r="K55" i="13"/>
  <c r="C105" i="13"/>
  <c r="I104" i="13"/>
  <c r="D55" i="13"/>
  <c r="D56" i="13" s="1"/>
  <c r="G107" i="13"/>
  <c r="G109" i="13" s="1"/>
  <c r="M106" i="13"/>
  <c r="H106" i="13"/>
  <c r="H111" i="13" s="1"/>
  <c r="C103" i="13"/>
  <c r="C110" i="13" s="1"/>
  <c r="M103" i="13"/>
  <c r="K106" i="13"/>
  <c r="L55" i="13"/>
  <c r="F104" i="13"/>
  <c r="I108" i="13"/>
  <c r="F106" i="13"/>
  <c r="N104" i="13"/>
  <c r="N103" i="13"/>
  <c r="K105" i="13"/>
  <c r="I112" i="13"/>
  <c r="N112" i="13"/>
  <c r="H109" i="13"/>
  <c r="J105" i="13"/>
  <c r="F107" i="13"/>
  <c r="M107" i="13"/>
  <c r="H50" i="13"/>
  <c r="H52" i="13" s="1"/>
  <c r="F103" i="13"/>
  <c r="F109" i="13" s="1"/>
  <c r="C104" i="13"/>
  <c r="D106" i="13"/>
  <c r="D50" i="13"/>
  <c r="D52" i="13" s="1"/>
  <c r="D116" i="13" s="1"/>
  <c r="C53" i="13"/>
  <c r="C54" i="13" s="1"/>
  <c r="I50" i="13"/>
  <c r="I52" i="13" s="1"/>
  <c r="G104" i="13"/>
  <c r="N108" i="13"/>
  <c r="N50" i="13"/>
  <c r="N52" i="13" s="1"/>
  <c r="D103" i="13"/>
  <c r="H55" i="13"/>
  <c r="H56" i="13" s="1"/>
  <c r="N105" i="13"/>
  <c r="I106" i="13"/>
  <c r="I109" i="13" s="1"/>
  <c r="M105" i="13"/>
  <c r="E105" i="13"/>
  <c r="I111" i="13"/>
  <c r="L107" i="13"/>
  <c r="K50" i="13"/>
  <c r="H107" i="13"/>
  <c r="G55" i="13"/>
  <c r="G56" i="13" s="1"/>
  <c r="E103" i="13"/>
  <c r="D107" i="13"/>
  <c r="L103" i="13"/>
  <c r="J50" i="13"/>
  <c r="J52" i="13" s="1"/>
  <c r="G106" i="13"/>
  <c r="G110" i="13" s="1"/>
  <c r="L106" i="13"/>
  <c r="E107" i="13"/>
  <c r="E108" i="13" s="1"/>
  <c r="I110" i="13"/>
  <c r="K104" i="13"/>
  <c r="E50" i="13"/>
  <c r="E52" i="13" s="1"/>
  <c r="E116" i="13" s="1"/>
  <c r="F105" i="13"/>
  <c r="L105" i="13"/>
  <c r="F55" i="13"/>
  <c r="F56" i="13" s="1"/>
  <c r="N106" i="13"/>
  <c r="K103" i="13"/>
  <c r="F50" i="13"/>
  <c r="F52" i="13" s="1"/>
  <c r="L50" i="13"/>
  <c r="J104" i="13"/>
  <c r="D105" i="13"/>
  <c r="J107" i="13"/>
  <c r="J113" i="13" s="1"/>
  <c r="C55" i="13"/>
  <c r="C56" i="13" s="1"/>
  <c r="M50" i="13"/>
  <c r="J103" i="13"/>
  <c r="J111" i="13" s="1"/>
  <c r="I103" i="13"/>
  <c r="C107" i="13"/>
  <c r="G111" i="13"/>
  <c r="F111" i="13"/>
  <c r="D112" i="13"/>
  <c r="E111" i="13"/>
  <c r="F108" i="13"/>
  <c r="E112" i="13"/>
  <c r="D108" i="13"/>
  <c r="F110" i="13"/>
  <c r="F112" i="13"/>
  <c r="D113" i="13"/>
  <c r="F113" i="13"/>
  <c r="D111" i="13"/>
  <c r="D110" i="13"/>
  <c r="D109" i="13"/>
  <c r="G53" i="13"/>
  <c r="G54" i="13" s="1"/>
  <c r="I53" i="13"/>
  <c r="I54" i="13" s="1"/>
  <c r="D53" i="13"/>
  <c r="D54" i="13" s="1"/>
  <c r="H53" i="13"/>
  <c r="H54" i="13" s="1"/>
  <c r="E53" i="13"/>
  <c r="E54" i="13" s="1"/>
  <c r="F53" i="13"/>
  <c r="F54" i="13" s="1"/>
  <c r="J53" i="13"/>
  <c r="J54" i="13" s="1"/>
  <c r="E45" i="11" l="1"/>
  <c r="E24" i="11" s="1"/>
  <c r="E29" i="11" s="1"/>
  <c r="E32" i="11" s="1"/>
  <c r="E117" i="11"/>
  <c r="C114" i="7"/>
  <c r="C12" i="6"/>
  <c r="C70" i="6"/>
  <c r="G74" i="6"/>
  <c r="G73" i="6"/>
  <c r="C74" i="6"/>
  <c r="E74" i="6" s="1"/>
  <c r="C69" i="6"/>
  <c r="E69" i="6"/>
  <c r="E73" i="6" s="1"/>
  <c r="K4" i="6" s="1"/>
  <c r="J112" i="13"/>
  <c r="G36" i="11"/>
  <c r="G37" i="11"/>
  <c r="G33" i="11"/>
  <c r="C42" i="10"/>
  <c r="J42" i="10"/>
  <c r="L42" i="10"/>
  <c r="I42" i="10"/>
  <c r="E42" i="10"/>
  <c r="H42" i="10"/>
  <c r="G42" i="10"/>
  <c r="F42" i="10"/>
  <c r="N42" i="10"/>
  <c r="D42" i="10"/>
  <c r="K42" i="10"/>
  <c r="M42" i="10"/>
  <c r="L33" i="6"/>
  <c r="F33" i="14"/>
  <c r="K5" i="10"/>
  <c r="I35" i="7"/>
  <c r="C70" i="14"/>
  <c r="C12" i="14"/>
  <c r="G74" i="14"/>
  <c r="G73" i="14"/>
  <c r="C74" i="14"/>
  <c r="E74" i="14" s="1"/>
  <c r="C69" i="14"/>
  <c r="C73" i="14" s="1"/>
  <c r="K3" i="14" s="1"/>
  <c r="E69" i="14"/>
  <c r="E73" i="14" s="1"/>
  <c r="K4" i="14" s="1"/>
  <c r="E86" i="7"/>
  <c r="E90" i="7"/>
  <c r="I116" i="13"/>
  <c r="M33" i="6"/>
  <c r="G112" i="13"/>
  <c r="H110" i="13"/>
  <c r="H108" i="13"/>
  <c r="H114" i="13" s="1"/>
  <c r="H45" i="13" s="1"/>
  <c r="H24" i="13" s="1"/>
  <c r="H29" i="13" s="1"/>
  <c r="H32" i="13" s="1"/>
  <c r="K33" i="6"/>
  <c r="C46" i="4"/>
  <c r="H33" i="14"/>
  <c r="J117" i="7"/>
  <c r="G113" i="13"/>
  <c r="N110" i="13"/>
  <c r="N114" i="13" s="1"/>
  <c r="E83" i="6"/>
  <c r="E85" i="6"/>
  <c r="E91" i="6"/>
  <c r="E82" i="6"/>
  <c r="E95" i="6"/>
  <c r="E90" i="6"/>
  <c r="E98" i="6"/>
  <c r="E99" i="6"/>
  <c r="E103" i="6"/>
  <c r="E84" i="6"/>
  <c r="E92" i="6"/>
  <c r="E94" i="6"/>
  <c r="E96" i="6"/>
  <c r="E97" i="6"/>
  <c r="E100" i="6"/>
  <c r="E101" i="6"/>
  <c r="E102" i="6"/>
  <c r="E104" i="6"/>
  <c r="E105" i="6"/>
  <c r="E87" i="6"/>
  <c r="E86" i="6"/>
  <c r="E88" i="6"/>
  <c r="K33" i="15"/>
  <c r="H117" i="7"/>
  <c r="J42" i="11"/>
  <c r="J41" i="11"/>
  <c r="J43" i="11" s="1"/>
  <c r="J44" i="11" s="1"/>
  <c r="E109" i="13"/>
  <c r="E114" i="13" s="1"/>
  <c r="J116" i="13"/>
  <c r="N109" i="13"/>
  <c r="F110" i="7"/>
  <c r="F114" i="7" s="1"/>
  <c r="G32" i="16"/>
  <c r="N64" i="16"/>
  <c r="H64" i="16"/>
  <c r="D17" i="16"/>
  <c r="F32" i="16"/>
  <c r="G64" i="16"/>
  <c r="J64" i="16"/>
  <c r="M64" i="16"/>
  <c r="E64" i="16"/>
  <c r="L64" i="16"/>
  <c r="F64" i="16"/>
  <c r="D32" i="16"/>
  <c r="C64" i="16"/>
  <c r="K32" i="16"/>
  <c r="J32" i="16"/>
  <c r="L32" i="16"/>
  <c r="H32" i="16"/>
  <c r="I32" i="16"/>
  <c r="K64" i="16"/>
  <c r="I64" i="16"/>
  <c r="M32" i="16"/>
  <c r="D64" i="16"/>
  <c r="E32" i="16"/>
  <c r="C11" i="16"/>
  <c r="D18" i="16"/>
  <c r="C8" i="16"/>
  <c r="C9" i="16" s="1"/>
  <c r="C32" i="16"/>
  <c r="E110" i="13"/>
  <c r="J110" i="13"/>
  <c r="J108" i="13"/>
  <c r="D77" i="7"/>
  <c r="D76" i="7"/>
  <c r="D74" i="7"/>
  <c r="D75" i="7"/>
  <c r="D78" i="7"/>
  <c r="G117" i="11"/>
  <c r="H37" i="7"/>
  <c r="H36" i="7"/>
  <c r="H33" i="7"/>
  <c r="D33" i="15"/>
  <c r="D37" i="11"/>
  <c r="D36" i="11"/>
  <c r="D33" i="11"/>
  <c r="K33" i="14"/>
  <c r="F114" i="13"/>
  <c r="F45" i="13" s="1"/>
  <c r="F24" i="13" s="1"/>
  <c r="F29" i="13" s="1"/>
  <c r="F32" i="13" s="1"/>
  <c r="E82" i="7"/>
  <c r="E98" i="7"/>
  <c r="E89" i="7"/>
  <c r="E99" i="7"/>
  <c r="E81" i="7"/>
  <c r="E100" i="7"/>
  <c r="E113" i="7" s="1"/>
  <c r="E84" i="7"/>
  <c r="E101" i="7"/>
  <c r="E79" i="7"/>
  <c r="E102" i="7"/>
  <c r="E83" i="7"/>
  <c r="E87" i="7"/>
  <c r="E91" i="7"/>
  <c r="E92" i="7"/>
  <c r="E93" i="7"/>
  <c r="E94" i="7"/>
  <c r="E95" i="7"/>
  <c r="E96" i="7"/>
  <c r="E112" i="7" s="1"/>
  <c r="E97" i="7"/>
  <c r="E85" i="7"/>
  <c r="E80" i="7"/>
  <c r="E108" i="7" s="1"/>
  <c r="E88" i="7"/>
  <c r="E110" i="7" s="1"/>
  <c r="H112" i="13"/>
  <c r="K31" i="12"/>
  <c r="G31" i="12"/>
  <c r="F31" i="12"/>
  <c r="L31" i="12"/>
  <c r="M31" i="12"/>
  <c r="I31" i="12"/>
  <c r="H31" i="12"/>
  <c r="E31" i="12"/>
  <c r="C31" i="12"/>
  <c r="D31" i="12"/>
  <c r="D33" i="12" s="1"/>
  <c r="J31" i="12"/>
  <c r="J33" i="12" s="1"/>
  <c r="F113" i="7"/>
  <c r="K109" i="10"/>
  <c r="K116" i="10" s="1"/>
  <c r="K113" i="10"/>
  <c r="K110" i="10"/>
  <c r="K106" i="10"/>
  <c r="L110" i="10"/>
  <c r="J108" i="10"/>
  <c r="E53" i="10"/>
  <c r="E55" i="10" s="1"/>
  <c r="N53" i="10"/>
  <c r="N55" i="10" s="1"/>
  <c r="L107" i="10"/>
  <c r="M110" i="10"/>
  <c r="M111" i="10" s="1"/>
  <c r="L106" i="10"/>
  <c r="L111" i="10" s="1"/>
  <c r="I53" i="10"/>
  <c r="I55" i="10" s="1"/>
  <c r="I119" i="10" s="1"/>
  <c r="M109" i="10"/>
  <c r="M116" i="10" s="1"/>
  <c r="H58" i="10"/>
  <c r="H59" i="10" s="1"/>
  <c r="I56" i="10"/>
  <c r="I57" i="10" s="1"/>
  <c r="N107" i="10"/>
  <c r="L108" i="10"/>
  <c r="N56" i="10"/>
  <c r="N57" i="10" s="1"/>
  <c r="C53" i="10"/>
  <c r="C55" i="10" s="1"/>
  <c r="K108" i="10"/>
  <c r="C110" i="10"/>
  <c r="M106" i="10"/>
  <c r="M53" i="10"/>
  <c r="M55" i="10" s="1"/>
  <c r="L58" i="10"/>
  <c r="L59" i="10" s="1"/>
  <c r="K107" i="10"/>
  <c r="C106" i="10"/>
  <c r="M108" i="10"/>
  <c r="F58" i="10"/>
  <c r="F59" i="10" s="1"/>
  <c r="G53" i="10"/>
  <c r="G55" i="10" s="1"/>
  <c r="G119" i="10" s="1"/>
  <c r="C109" i="10"/>
  <c r="C113" i="10" s="1"/>
  <c r="D106" i="10"/>
  <c r="N110" i="10"/>
  <c r="E58" i="10"/>
  <c r="E59" i="10" s="1"/>
  <c r="J58" i="10"/>
  <c r="J59" i="10" s="1"/>
  <c r="K53" i="10"/>
  <c r="K55" i="10" s="1"/>
  <c r="D53" i="10"/>
  <c r="D55" i="10" s="1"/>
  <c r="D119" i="10" s="1"/>
  <c r="C108" i="10"/>
  <c r="E106" i="10"/>
  <c r="D108" i="10"/>
  <c r="I58" i="10"/>
  <c r="I59" i="10" s="1"/>
  <c r="H53" i="10"/>
  <c r="H55" i="10" s="1"/>
  <c r="D109" i="10"/>
  <c r="D113" i="10" s="1"/>
  <c r="F106" i="10"/>
  <c r="E110" i="10"/>
  <c r="E112" i="10" s="1"/>
  <c r="N58" i="10"/>
  <c r="N59" i="10" s="1"/>
  <c r="C56" i="10"/>
  <c r="C57" i="10" s="1"/>
  <c r="D107" i="10"/>
  <c r="F108" i="10"/>
  <c r="F107" i="10"/>
  <c r="M58" i="10"/>
  <c r="M59" i="10" s="1"/>
  <c r="D58" i="10"/>
  <c r="D59" i="10" s="1"/>
  <c r="G56" i="10"/>
  <c r="G57" i="10" s="1"/>
  <c r="I114" i="10"/>
  <c r="E109" i="10"/>
  <c r="E113" i="10" s="1"/>
  <c r="G106" i="10"/>
  <c r="G109" i="10"/>
  <c r="G114" i="10" s="1"/>
  <c r="D110" i="10"/>
  <c r="C58" i="10"/>
  <c r="C59" i="10" s="1"/>
  <c r="E107" i="10"/>
  <c r="G108" i="10"/>
  <c r="H107" i="10"/>
  <c r="C107" i="10"/>
  <c r="E108" i="10"/>
  <c r="F110" i="10"/>
  <c r="H106" i="10"/>
  <c r="I109" i="10"/>
  <c r="I111" i="10" s="1"/>
  <c r="I117" i="10" s="1"/>
  <c r="I48" i="10" s="1"/>
  <c r="I24" i="10" s="1"/>
  <c r="I29" i="10" s="1"/>
  <c r="I35" i="10" s="1"/>
  <c r="N106" i="10"/>
  <c r="F109" i="10"/>
  <c r="F113" i="10" s="1"/>
  <c r="G58" i="10"/>
  <c r="G59" i="10" s="1"/>
  <c r="J56" i="10"/>
  <c r="J57" i="10" s="1"/>
  <c r="G110" i="10"/>
  <c r="G112" i="10" s="1"/>
  <c r="H108" i="10"/>
  <c r="J107" i="10"/>
  <c r="N108" i="10"/>
  <c r="G107" i="10"/>
  <c r="H110" i="10"/>
  <c r="I106" i="10"/>
  <c r="L109" i="10"/>
  <c r="F53" i="10"/>
  <c r="F55" i="10" s="1"/>
  <c r="H109" i="10"/>
  <c r="H112" i="10" s="1"/>
  <c r="K58" i="10"/>
  <c r="K59" i="10" s="1"/>
  <c r="L56" i="10"/>
  <c r="L57" i="10" s="1"/>
  <c r="I110" i="10"/>
  <c r="I108" i="10"/>
  <c r="M107" i="10"/>
  <c r="J53" i="10"/>
  <c r="J55" i="10" s="1"/>
  <c r="J119" i="10" s="1"/>
  <c r="I107" i="10"/>
  <c r="H56" i="10"/>
  <c r="H57" i="10" s="1"/>
  <c r="J110" i="10"/>
  <c r="J113" i="10" s="1"/>
  <c r="J106" i="10"/>
  <c r="N109" i="10"/>
  <c r="N115" i="10" s="1"/>
  <c r="J109" i="10"/>
  <c r="L53" i="10"/>
  <c r="L55" i="10" s="1"/>
  <c r="H116" i="10"/>
  <c r="H113" i="10"/>
  <c r="J114" i="10"/>
  <c r="L114" i="10"/>
  <c r="M112" i="10"/>
  <c r="K114" i="10"/>
  <c r="I113" i="10"/>
  <c r="L116" i="10"/>
  <c r="F56" i="10"/>
  <c r="F57" i="10" s="1"/>
  <c r="H114" i="10"/>
  <c r="H115" i="10"/>
  <c r="H111" i="10"/>
  <c r="I112" i="10"/>
  <c r="L112" i="10"/>
  <c r="G116" i="10"/>
  <c r="F112" i="10"/>
  <c r="F116" i="10"/>
  <c r="F114" i="10"/>
  <c r="E56" i="10"/>
  <c r="E57" i="10" s="1"/>
  <c r="F111" i="10"/>
  <c r="D56" i="10"/>
  <c r="D57" i="10" s="1"/>
  <c r="F115" i="10"/>
  <c r="D112" i="10"/>
  <c r="E116" i="10"/>
  <c r="D115" i="10"/>
  <c r="K56" i="10"/>
  <c r="K57" i="10" s="1"/>
  <c r="M56" i="10"/>
  <c r="M57" i="10" s="1"/>
  <c r="E33" i="15"/>
  <c r="C113" i="13"/>
  <c r="H113" i="13"/>
  <c r="F116" i="13"/>
  <c r="F117" i="13" s="1"/>
  <c r="C112" i="13"/>
  <c r="I64" i="12"/>
  <c r="J32" i="12"/>
  <c r="L32" i="12"/>
  <c r="K64" i="12"/>
  <c r="M64" i="12"/>
  <c r="G64" i="12"/>
  <c r="M32" i="12"/>
  <c r="N64" i="12"/>
  <c r="J64" i="12"/>
  <c r="I32" i="12"/>
  <c r="E32" i="12"/>
  <c r="H32" i="12"/>
  <c r="G32" i="12"/>
  <c r="F32" i="12"/>
  <c r="H64" i="12"/>
  <c r="C64" i="12"/>
  <c r="D17" i="12"/>
  <c r="L64" i="12"/>
  <c r="D32" i="12"/>
  <c r="F64" i="12"/>
  <c r="K32" i="12"/>
  <c r="D64" i="12"/>
  <c r="E64" i="12"/>
  <c r="C11" i="12"/>
  <c r="D18" i="12"/>
  <c r="C32" i="12"/>
  <c r="J33" i="7"/>
  <c r="J36" i="7"/>
  <c r="J37" i="7"/>
  <c r="C70" i="15"/>
  <c r="C12" i="15"/>
  <c r="G73" i="15"/>
  <c r="C74" i="15"/>
  <c r="E74" i="15" s="1"/>
  <c r="G74" i="15"/>
  <c r="E69" i="15"/>
  <c r="E73" i="15" s="1"/>
  <c r="K4" i="15" s="1"/>
  <c r="C69" i="15"/>
  <c r="F33" i="15"/>
  <c r="N117" i="7"/>
  <c r="J33" i="15"/>
  <c r="K31" i="16"/>
  <c r="K33" i="16" s="1"/>
  <c r="C31" i="16"/>
  <c r="C33" i="16" s="1"/>
  <c r="J31" i="16"/>
  <c r="J33" i="16" s="1"/>
  <c r="F31" i="16"/>
  <c r="F33" i="16" s="1"/>
  <c r="I31" i="16"/>
  <c r="I33" i="16" s="1"/>
  <c r="H31" i="16"/>
  <c r="H33" i="16" s="1"/>
  <c r="E31" i="16"/>
  <c r="E33" i="16" s="1"/>
  <c r="M31" i="16"/>
  <c r="M33" i="16" s="1"/>
  <c r="L31" i="16"/>
  <c r="L33" i="16" s="1"/>
  <c r="G31" i="16"/>
  <c r="G33" i="16" s="1"/>
  <c r="D31" i="16"/>
  <c r="D33" i="16" s="1"/>
  <c r="G108" i="13"/>
  <c r="G114" i="13" s="1"/>
  <c r="G45" i="13" s="1"/>
  <c r="G24" i="13" s="1"/>
  <c r="G29" i="13" s="1"/>
  <c r="G32" i="13" s="1"/>
  <c r="L33" i="15"/>
  <c r="N36" i="7"/>
  <c r="N33" i="7"/>
  <c r="N37" i="7"/>
  <c r="C109" i="13"/>
  <c r="C108" i="13"/>
  <c r="C114" i="13" s="1"/>
  <c r="C45" i="13" s="1"/>
  <c r="C24" i="13" s="1"/>
  <c r="C29" i="13" s="1"/>
  <c r="C32" i="13" s="1"/>
  <c r="N113" i="13"/>
  <c r="C116" i="13"/>
  <c r="C117" i="13" s="1"/>
  <c r="D26" i="6"/>
  <c r="D75" i="6"/>
  <c r="D80" i="6"/>
  <c r="D79" i="6"/>
  <c r="D76" i="6"/>
  <c r="D118" i="6"/>
  <c r="D77" i="6"/>
  <c r="D81" i="6"/>
  <c r="D78" i="6"/>
  <c r="D54" i="6"/>
  <c r="D56" i="6"/>
  <c r="D57" i="6" s="1"/>
  <c r="D62" i="6"/>
  <c r="D60" i="6"/>
  <c r="D33" i="6"/>
  <c r="H33" i="15"/>
  <c r="H36" i="11"/>
  <c r="H37" i="11"/>
  <c r="H33" i="11"/>
  <c r="J33" i="6"/>
  <c r="H116" i="13"/>
  <c r="H117" i="13" s="1"/>
  <c r="I40" i="11"/>
  <c r="E93" i="6"/>
  <c r="E89" i="6"/>
  <c r="H33" i="6"/>
  <c r="M33" i="15"/>
  <c r="N114" i="11"/>
  <c r="I41" i="7"/>
  <c r="I43" i="7" s="1"/>
  <c r="I44" i="7" s="1"/>
  <c r="I42" i="7"/>
  <c r="F33" i="11"/>
  <c r="F37" i="11"/>
  <c r="F36" i="11"/>
  <c r="I114" i="13"/>
  <c r="I45" i="13" s="1"/>
  <c r="I24" i="13" s="1"/>
  <c r="I29" i="13" s="1"/>
  <c r="I32" i="13" s="1"/>
  <c r="C117" i="11"/>
  <c r="G33" i="6"/>
  <c r="G33" i="15"/>
  <c r="L33" i="14"/>
  <c r="G117" i="7"/>
  <c r="C33" i="11"/>
  <c r="C37" i="11"/>
  <c r="C36" i="11"/>
  <c r="F112" i="7"/>
  <c r="D114" i="13"/>
  <c r="D45" i="13" s="1"/>
  <c r="D24" i="13" s="1"/>
  <c r="D29" i="13" s="1"/>
  <c r="D32" i="13" s="1"/>
  <c r="E113" i="13"/>
  <c r="N116" i="13"/>
  <c r="G36" i="7"/>
  <c r="G37" i="7"/>
  <c r="G33" i="7"/>
  <c r="I33" i="6"/>
  <c r="C33" i="15"/>
  <c r="D33" i="14"/>
  <c r="D117" i="11"/>
  <c r="F45" i="7" l="1"/>
  <c r="F24" i="7" s="1"/>
  <c r="F29" i="7" s="1"/>
  <c r="F32" i="7" s="1"/>
  <c r="F117" i="7"/>
  <c r="E45" i="13"/>
  <c r="E24" i="13" s="1"/>
  <c r="E29" i="13" s="1"/>
  <c r="E32" i="13" s="1"/>
  <c r="E117" i="13"/>
  <c r="I40" i="10"/>
  <c r="I39" i="10"/>
  <c r="I41" i="10" s="1"/>
  <c r="I36" i="10"/>
  <c r="I34" i="10"/>
  <c r="N45" i="13"/>
  <c r="N24" i="13"/>
  <c r="N29" i="13" s="1"/>
  <c r="N32" i="13" s="1"/>
  <c r="K112" i="15"/>
  <c r="K110" i="15"/>
  <c r="K106" i="15"/>
  <c r="K113" i="15" s="1"/>
  <c r="K107" i="15"/>
  <c r="K108" i="15"/>
  <c r="K109" i="15"/>
  <c r="L108" i="15"/>
  <c r="H107" i="15"/>
  <c r="H108" i="15"/>
  <c r="C107" i="15"/>
  <c r="C109" i="15"/>
  <c r="E58" i="15"/>
  <c r="E59" i="15" s="1"/>
  <c r="I109" i="15"/>
  <c r="I106" i="15"/>
  <c r="I112" i="15" s="1"/>
  <c r="K58" i="15"/>
  <c r="K59" i="15" s="1"/>
  <c r="F53" i="15"/>
  <c r="F55" i="15" s="1"/>
  <c r="I56" i="15"/>
  <c r="I57" i="15" s="1"/>
  <c r="C108" i="15"/>
  <c r="I58" i="15"/>
  <c r="I59" i="15" s="1"/>
  <c r="I107" i="15"/>
  <c r="I108" i="15"/>
  <c r="N53" i="15"/>
  <c r="N55" i="15" s="1"/>
  <c r="D109" i="15"/>
  <c r="J109" i="15"/>
  <c r="J106" i="15"/>
  <c r="J113" i="15" s="1"/>
  <c r="J53" i="15"/>
  <c r="J55" i="15" s="1"/>
  <c r="J119" i="15" s="1"/>
  <c r="D107" i="15"/>
  <c r="D116" i="15" s="1"/>
  <c r="M58" i="15"/>
  <c r="M59" i="15" s="1"/>
  <c r="J107" i="15"/>
  <c r="J108" i="15"/>
  <c r="J114" i="15" s="1"/>
  <c r="H58" i="15"/>
  <c r="H59" i="15" s="1"/>
  <c r="E110" i="15"/>
  <c r="N109" i="15"/>
  <c r="N110" i="15"/>
  <c r="D58" i="15"/>
  <c r="D59" i="15" s="1"/>
  <c r="M56" i="15"/>
  <c r="M57" i="15" s="1"/>
  <c r="F110" i="15"/>
  <c r="C110" i="15"/>
  <c r="N108" i="15"/>
  <c r="C53" i="15"/>
  <c r="C55" i="15" s="1"/>
  <c r="L58" i="15"/>
  <c r="L59" i="15" s="1"/>
  <c r="N106" i="15"/>
  <c r="N116" i="15" s="1"/>
  <c r="M110" i="15"/>
  <c r="G110" i="15"/>
  <c r="D110" i="15"/>
  <c r="C106" i="15"/>
  <c r="C115" i="15" s="1"/>
  <c r="J58" i="15"/>
  <c r="J59" i="15" s="1"/>
  <c r="G56" i="15"/>
  <c r="G57" i="15" s="1"/>
  <c r="L110" i="15"/>
  <c r="H110" i="15"/>
  <c r="D108" i="15"/>
  <c r="D106" i="15"/>
  <c r="D115" i="15" s="1"/>
  <c r="G53" i="15"/>
  <c r="G55" i="15" s="1"/>
  <c r="G119" i="15" s="1"/>
  <c r="D53" i="15"/>
  <c r="D55" i="15" s="1"/>
  <c r="M109" i="15"/>
  <c r="I110" i="15"/>
  <c r="E109" i="15"/>
  <c r="E106" i="15"/>
  <c r="E114" i="15" s="1"/>
  <c r="K53" i="15"/>
  <c r="K55" i="15" s="1"/>
  <c r="K119" i="15" s="1"/>
  <c r="L53" i="15"/>
  <c r="L55" i="15" s="1"/>
  <c r="H53" i="15"/>
  <c r="H55" i="15" s="1"/>
  <c r="H119" i="15" s="1"/>
  <c r="M107" i="15"/>
  <c r="J110" i="15"/>
  <c r="E107" i="15"/>
  <c r="E108" i="15"/>
  <c r="L109" i="15"/>
  <c r="N107" i="15"/>
  <c r="F109" i="15"/>
  <c r="F106" i="15"/>
  <c r="F111" i="15" s="1"/>
  <c r="C56" i="15"/>
  <c r="C57" i="15" s="1"/>
  <c r="N56" i="15"/>
  <c r="N57" i="15" s="1"/>
  <c r="K56" i="15"/>
  <c r="K57" i="15" s="1"/>
  <c r="L107" i="15"/>
  <c r="L113" i="15" s="1"/>
  <c r="E53" i="15"/>
  <c r="E55" i="15" s="1"/>
  <c r="E119" i="15" s="1"/>
  <c r="F107" i="15"/>
  <c r="F116" i="15" s="1"/>
  <c r="F108" i="15"/>
  <c r="M106" i="15"/>
  <c r="M112" i="15" s="1"/>
  <c r="I53" i="15"/>
  <c r="I55" i="15" s="1"/>
  <c r="G109" i="15"/>
  <c r="G106" i="15"/>
  <c r="G116" i="15" s="1"/>
  <c r="C58" i="15"/>
  <c r="C59" i="15" s="1"/>
  <c r="F58" i="15"/>
  <c r="F59" i="15" s="1"/>
  <c r="J56" i="15"/>
  <c r="J57" i="15" s="1"/>
  <c r="M108" i="15"/>
  <c r="G107" i="15"/>
  <c r="G111" i="15" s="1"/>
  <c r="G117" i="15" s="1"/>
  <c r="G48" i="15" s="1"/>
  <c r="G24" i="15" s="1"/>
  <c r="G29" i="15" s="1"/>
  <c r="G35" i="15" s="1"/>
  <c r="G108" i="15"/>
  <c r="N58" i="15"/>
  <c r="N59" i="15" s="1"/>
  <c r="L106" i="15"/>
  <c r="L111" i="15" s="1"/>
  <c r="M53" i="15"/>
  <c r="M55" i="15" s="1"/>
  <c r="M119" i="15" s="1"/>
  <c r="H109" i="15"/>
  <c r="H106" i="15"/>
  <c r="H115" i="15" s="1"/>
  <c r="G58" i="15"/>
  <c r="G59" i="15" s="1"/>
  <c r="L56" i="15"/>
  <c r="L57" i="15" s="1"/>
  <c r="H56" i="15"/>
  <c r="H57" i="15" s="1"/>
  <c r="K114" i="15"/>
  <c r="L114" i="15"/>
  <c r="M115" i="15"/>
  <c r="M116" i="15"/>
  <c r="M113" i="15"/>
  <c r="F56" i="15"/>
  <c r="F57" i="15" s="1"/>
  <c r="M114" i="15"/>
  <c r="G114" i="15"/>
  <c r="K116" i="15"/>
  <c r="M111" i="15"/>
  <c r="E56" i="15"/>
  <c r="E57" i="15" s="1"/>
  <c r="D56" i="15"/>
  <c r="D57" i="15" s="1"/>
  <c r="G113" i="15"/>
  <c r="G112" i="15"/>
  <c r="G115" i="15"/>
  <c r="D111" i="10"/>
  <c r="D117" i="10" s="1"/>
  <c r="D48" i="10" s="1"/>
  <c r="D24" i="10" s="1"/>
  <c r="D29" i="10" s="1"/>
  <c r="D35" i="10" s="1"/>
  <c r="N116" i="10"/>
  <c r="K112" i="10"/>
  <c r="K5" i="14"/>
  <c r="I120" i="10"/>
  <c r="C70" i="16"/>
  <c r="C12" i="16"/>
  <c r="C74" i="16"/>
  <c r="E74" i="16" s="1"/>
  <c r="G73" i="16"/>
  <c r="G74" i="16"/>
  <c r="C69" i="16"/>
  <c r="C73" i="16" s="1"/>
  <c r="K3" i="16" s="1"/>
  <c r="E69" i="16"/>
  <c r="E73" i="16" s="1"/>
  <c r="K4" i="16" s="1"/>
  <c r="K5" i="16" s="1"/>
  <c r="H42" i="14"/>
  <c r="L42" i="14"/>
  <c r="J42" i="14"/>
  <c r="C42" i="14"/>
  <c r="D42" i="14"/>
  <c r="I42" i="14"/>
  <c r="F42" i="14"/>
  <c r="G42" i="14"/>
  <c r="E42" i="14"/>
  <c r="M42" i="14"/>
  <c r="N42" i="14"/>
  <c r="K42" i="14"/>
  <c r="N38" i="7"/>
  <c r="N34" i="7" s="1"/>
  <c r="N40" i="7"/>
  <c r="D116" i="10"/>
  <c r="G111" i="10"/>
  <c r="H38" i="7"/>
  <c r="H34" i="7" s="1"/>
  <c r="H35" i="7" s="1"/>
  <c r="H40" i="7"/>
  <c r="D117" i="13"/>
  <c r="I43" i="10"/>
  <c r="K109" i="6"/>
  <c r="K113" i="6" s="1"/>
  <c r="K112" i="6"/>
  <c r="K110" i="6"/>
  <c r="K106" i="6"/>
  <c r="F108" i="6"/>
  <c r="C108" i="6"/>
  <c r="E58" i="6"/>
  <c r="E59" i="6" s="1"/>
  <c r="N109" i="6"/>
  <c r="N112" i="6" s="1"/>
  <c r="K108" i="6"/>
  <c r="N108" i="6"/>
  <c r="E109" i="6"/>
  <c r="E114" i="6" s="1"/>
  <c r="I108" i="6"/>
  <c r="J110" i="6"/>
  <c r="F107" i="6"/>
  <c r="L106" i="6"/>
  <c r="C110" i="6"/>
  <c r="C115" i="6" s="1"/>
  <c r="D58" i="6"/>
  <c r="D59" i="6" s="1"/>
  <c r="J53" i="6"/>
  <c r="J55" i="6" s="1"/>
  <c r="M58" i="6"/>
  <c r="M59" i="6" s="1"/>
  <c r="G53" i="6"/>
  <c r="G55" i="6" s="1"/>
  <c r="D106" i="6"/>
  <c r="H58" i="6"/>
  <c r="H59" i="6" s="1"/>
  <c r="J56" i="6"/>
  <c r="J57" i="6" s="1"/>
  <c r="H111" i="6"/>
  <c r="K107" i="6"/>
  <c r="K53" i="6"/>
  <c r="K55" i="6" s="1"/>
  <c r="F110" i="6"/>
  <c r="F116" i="6" s="1"/>
  <c r="C107" i="6"/>
  <c r="N53" i="6"/>
  <c r="N55" i="6" s="1"/>
  <c r="C109" i="6"/>
  <c r="C111" i="6" s="1"/>
  <c r="G109" i="6"/>
  <c r="L58" i="6"/>
  <c r="L59" i="6" s="1"/>
  <c r="D109" i="6"/>
  <c r="D110" i="6"/>
  <c r="C56" i="6"/>
  <c r="C57" i="6" s="1"/>
  <c r="G107" i="6"/>
  <c r="M56" i="6"/>
  <c r="M57" i="6" s="1"/>
  <c r="D107" i="6"/>
  <c r="N56" i="6"/>
  <c r="N57" i="6" s="1"/>
  <c r="D108" i="6"/>
  <c r="H106" i="6"/>
  <c r="G106" i="6"/>
  <c r="E110" i="6"/>
  <c r="F58" i="6"/>
  <c r="F59" i="6" s="1"/>
  <c r="E106" i="6"/>
  <c r="C58" i="6"/>
  <c r="C59" i="6" s="1"/>
  <c r="H108" i="6"/>
  <c r="J107" i="6"/>
  <c r="E108" i="6"/>
  <c r="G110" i="6"/>
  <c r="G116" i="6" s="1"/>
  <c r="L109" i="6"/>
  <c r="L114" i="6" s="1"/>
  <c r="L108" i="6"/>
  <c r="F106" i="6"/>
  <c r="J58" i="6"/>
  <c r="J59" i="6" s="1"/>
  <c r="H109" i="6"/>
  <c r="H115" i="6" s="1"/>
  <c r="G58" i="6"/>
  <c r="G59" i="6" s="1"/>
  <c r="L107" i="6"/>
  <c r="N107" i="6"/>
  <c r="H110" i="6"/>
  <c r="H114" i="6" s="1"/>
  <c r="H107" i="6"/>
  <c r="K58" i="6"/>
  <c r="K59" i="6" s="1"/>
  <c r="M106" i="6"/>
  <c r="M114" i="6" s="1"/>
  <c r="E53" i="6"/>
  <c r="E55" i="6" s="1"/>
  <c r="E119" i="6" s="1"/>
  <c r="G113" i="6"/>
  <c r="I109" i="6"/>
  <c r="I113" i="6" s="1"/>
  <c r="N58" i="6"/>
  <c r="N59" i="6" s="1"/>
  <c r="I106" i="6"/>
  <c r="M108" i="6"/>
  <c r="M53" i="6"/>
  <c r="M55" i="6" s="1"/>
  <c r="I107" i="6"/>
  <c r="L110" i="6"/>
  <c r="E107" i="6"/>
  <c r="N106" i="6"/>
  <c r="J106" i="6"/>
  <c r="C106" i="6"/>
  <c r="M109" i="6"/>
  <c r="M112" i="6" s="1"/>
  <c r="J109" i="6"/>
  <c r="J116" i="6" s="1"/>
  <c r="D53" i="6"/>
  <c r="D55" i="6" s="1"/>
  <c r="J108" i="6"/>
  <c r="F109" i="6"/>
  <c r="F111" i="6" s="1"/>
  <c r="M107" i="6"/>
  <c r="I53" i="6"/>
  <c r="I55" i="6" s="1"/>
  <c r="H53" i="6"/>
  <c r="H55" i="6" s="1"/>
  <c r="M110" i="6"/>
  <c r="G108" i="6"/>
  <c r="N110" i="6"/>
  <c r="N113" i="6" s="1"/>
  <c r="L53" i="6"/>
  <c r="L55" i="6" s="1"/>
  <c r="F53" i="6"/>
  <c r="F55" i="6" s="1"/>
  <c r="F119" i="6" s="1"/>
  <c r="I110" i="6"/>
  <c r="I111" i="6" s="1"/>
  <c r="C53" i="6"/>
  <c r="C55" i="6" s="1"/>
  <c r="C119" i="6" s="1"/>
  <c r="I58" i="6"/>
  <c r="I59" i="6" s="1"/>
  <c r="L56" i="6"/>
  <c r="L57" i="6" s="1"/>
  <c r="E112" i="6"/>
  <c r="H116" i="6"/>
  <c r="L115" i="6"/>
  <c r="E111" i="6"/>
  <c r="E117" i="6" s="1"/>
  <c r="E48" i="6" s="1"/>
  <c r="E24" i="6" s="1"/>
  <c r="E29" i="6" s="1"/>
  <c r="E35" i="6" s="1"/>
  <c r="I116" i="6"/>
  <c r="M111" i="6"/>
  <c r="E115" i="6"/>
  <c r="K115" i="6"/>
  <c r="E113" i="6"/>
  <c r="E116" i="6"/>
  <c r="D111" i="6"/>
  <c r="D116" i="6"/>
  <c r="D115" i="6"/>
  <c r="K56" i="6"/>
  <c r="K57" i="6" s="1"/>
  <c r="I56" i="6"/>
  <c r="I57" i="6" s="1"/>
  <c r="H56" i="6"/>
  <c r="H57" i="6" s="1"/>
  <c r="G56" i="6"/>
  <c r="G57" i="6" s="1"/>
  <c r="F56" i="6"/>
  <c r="F57" i="6" s="1"/>
  <c r="E56" i="6"/>
  <c r="E57" i="6" s="1"/>
  <c r="D88" i="6"/>
  <c r="D83" i="6"/>
  <c r="D90" i="6"/>
  <c r="D91" i="6"/>
  <c r="D94" i="6"/>
  <c r="D85" i="6"/>
  <c r="D95" i="6"/>
  <c r="D114" i="6" s="1"/>
  <c r="D84" i="6"/>
  <c r="D96" i="6"/>
  <c r="D92" i="6"/>
  <c r="D97" i="6"/>
  <c r="D87" i="6"/>
  <c r="D98" i="6"/>
  <c r="D99" i="6"/>
  <c r="D100" i="6"/>
  <c r="D101" i="6"/>
  <c r="D102" i="6"/>
  <c r="D103" i="6"/>
  <c r="D104" i="6"/>
  <c r="D105" i="6"/>
  <c r="D82" i="6"/>
  <c r="D86" i="6"/>
  <c r="J112" i="10"/>
  <c r="H119" i="10"/>
  <c r="H120" i="10" s="1"/>
  <c r="N114" i="10"/>
  <c r="I117" i="13"/>
  <c r="G117" i="13"/>
  <c r="G36" i="13"/>
  <c r="G33" i="13"/>
  <c r="G37" i="13"/>
  <c r="C112" i="10"/>
  <c r="C116" i="10"/>
  <c r="L115" i="10"/>
  <c r="N113" i="10"/>
  <c r="C33" i="12"/>
  <c r="D86" i="7"/>
  <c r="D90" i="7"/>
  <c r="K110" i="14"/>
  <c r="K107" i="14"/>
  <c r="K108" i="14"/>
  <c r="K109" i="14"/>
  <c r="K106" i="14"/>
  <c r="K112" i="14" s="1"/>
  <c r="K113" i="14"/>
  <c r="L109" i="14"/>
  <c r="C53" i="14"/>
  <c r="C55" i="14" s="1"/>
  <c r="C119" i="14" s="1"/>
  <c r="F110" i="14"/>
  <c r="F109" i="14"/>
  <c r="F56" i="14"/>
  <c r="F57" i="14" s="1"/>
  <c r="E107" i="14"/>
  <c r="G110" i="14"/>
  <c r="C58" i="14"/>
  <c r="C59" i="14" s="1"/>
  <c r="N108" i="14"/>
  <c r="J107" i="14"/>
  <c r="G56" i="14"/>
  <c r="G57" i="14" s="1"/>
  <c r="F108" i="14"/>
  <c r="L108" i="14"/>
  <c r="G109" i="14"/>
  <c r="C109" i="14"/>
  <c r="I110" i="14"/>
  <c r="J112" i="14"/>
  <c r="H110" i="14"/>
  <c r="F58" i="14"/>
  <c r="F59" i="14" s="1"/>
  <c r="N107" i="14"/>
  <c r="G107" i="14"/>
  <c r="F107" i="14"/>
  <c r="E53" i="14"/>
  <c r="E55" i="14" s="1"/>
  <c r="I109" i="14"/>
  <c r="H106" i="14"/>
  <c r="H112" i="14" s="1"/>
  <c r="L110" i="14"/>
  <c r="G106" i="14"/>
  <c r="G114" i="14" s="1"/>
  <c r="I107" i="14"/>
  <c r="J58" i="14"/>
  <c r="J59" i="14" s="1"/>
  <c r="G53" i="14"/>
  <c r="G55" i="14" s="1"/>
  <c r="H108" i="14"/>
  <c r="M109" i="14"/>
  <c r="M58" i="14"/>
  <c r="M59" i="14" s="1"/>
  <c r="J106" i="14"/>
  <c r="J111" i="14" s="1"/>
  <c r="J117" i="14" s="1"/>
  <c r="J48" i="14" s="1"/>
  <c r="J24" i="14" s="1"/>
  <c r="J29" i="14" s="1"/>
  <c r="J35" i="14" s="1"/>
  <c r="N58" i="14"/>
  <c r="N59" i="14" s="1"/>
  <c r="J110" i="14"/>
  <c r="I53" i="14"/>
  <c r="I55" i="14" s="1"/>
  <c r="J108" i="14"/>
  <c r="J116" i="14" s="1"/>
  <c r="K53" i="14"/>
  <c r="K55" i="14" s="1"/>
  <c r="M110" i="14"/>
  <c r="E58" i="14"/>
  <c r="E59" i="14" s="1"/>
  <c r="G108" i="14"/>
  <c r="G113" i="14" s="1"/>
  <c r="L107" i="14"/>
  <c r="L115" i="14" s="1"/>
  <c r="C106" i="14"/>
  <c r="C111" i="14" s="1"/>
  <c r="N109" i="14"/>
  <c r="M106" i="14"/>
  <c r="M114" i="14" s="1"/>
  <c r="D110" i="14"/>
  <c r="C56" i="14"/>
  <c r="C57" i="14" s="1"/>
  <c r="D53" i="14"/>
  <c r="D55" i="14" s="1"/>
  <c r="C108" i="14"/>
  <c r="M108" i="14"/>
  <c r="D108" i="14"/>
  <c r="H53" i="14"/>
  <c r="H55" i="14" s="1"/>
  <c r="H119" i="14" s="1"/>
  <c r="J109" i="14"/>
  <c r="I56" i="14"/>
  <c r="I57" i="14" s="1"/>
  <c r="G116" i="14"/>
  <c r="N106" i="14"/>
  <c r="N113" i="14" s="1"/>
  <c r="E106" i="14"/>
  <c r="E113" i="14" s="1"/>
  <c r="M107" i="14"/>
  <c r="M112" i="14" s="1"/>
  <c r="F53" i="14"/>
  <c r="F55" i="14" s="1"/>
  <c r="E108" i="14"/>
  <c r="G58" i="14"/>
  <c r="G59" i="14" s="1"/>
  <c r="L53" i="14"/>
  <c r="L55" i="14" s="1"/>
  <c r="N110" i="14"/>
  <c r="C110" i="14"/>
  <c r="H109" i="14"/>
  <c r="E110" i="14"/>
  <c r="E56" i="14"/>
  <c r="E57" i="14" s="1"/>
  <c r="D109" i="14"/>
  <c r="J53" i="14"/>
  <c r="J55" i="14" s="1"/>
  <c r="H107" i="14"/>
  <c r="K58" i="14"/>
  <c r="K59" i="14" s="1"/>
  <c r="D58" i="14"/>
  <c r="D59" i="14" s="1"/>
  <c r="M53" i="14"/>
  <c r="M55" i="14" s="1"/>
  <c r="M119" i="14" s="1"/>
  <c r="D107" i="14"/>
  <c r="N53" i="14"/>
  <c r="N55" i="14" s="1"/>
  <c r="I106" i="14"/>
  <c r="H58" i="14"/>
  <c r="H59" i="14" s="1"/>
  <c r="H56" i="14"/>
  <c r="H57" i="14" s="1"/>
  <c r="E109" i="14"/>
  <c r="I108" i="14"/>
  <c r="I115" i="14" s="1"/>
  <c r="C107" i="14"/>
  <c r="L58" i="14"/>
  <c r="L59" i="14" s="1"/>
  <c r="I58" i="14"/>
  <c r="I59" i="14" s="1"/>
  <c r="F106" i="14"/>
  <c r="F113" i="14" s="1"/>
  <c r="N56" i="14"/>
  <c r="N57" i="14" s="1"/>
  <c r="L106" i="14"/>
  <c r="D106" i="14"/>
  <c r="D111" i="14" s="1"/>
  <c r="D117" i="14" s="1"/>
  <c r="D48" i="14" s="1"/>
  <c r="D24" i="14" s="1"/>
  <c r="D29" i="14" s="1"/>
  <c r="D35" i="14" s="1"/>
  <c r="M56" i="14"/>
  <c r="M57" i="14" s="1"/>
  <c r="E114" i="14"/>
  <c r="K114" i="14"/>
  <c r="L114" i="14"/>
  <c r="D115" i="14"/>
  <c r="C112" i="14"/>
  <c r="L116" i="14"/>
  <c r="L112" i="14"/>
  <c r="E116" i="14"/>
  <c r="J113" i="14"/>
  <c r="F112" i="14"/>
  <c r="I116" i="14"/>
  <c r="J114" i="14"/>
  <c r="I112" i="14"/>
  <c r="D116" i="14"/>
  <c r="K115" i="14"/>
  <c r="D114" i="14"/>
  <c r="K116" i="14"/>
  <c r="J115" i="14"/>
  <c r="D56" i="14"/>
  <c r="D57" i="14" s="1"/>
  <c r="G115" i="14"/>
  <c r="L113" i="14"/>
  <c r="E111" i="14"/>
  <c r="D113" i="14"/>
  <c r="D112" i="14"/>
  <c r="K56" i="14"/>
  <c r="K57" i="14" s="1"/>
  <c r="J56" i="14"/>
  <c r="J57" i="14" s="1"/>
  <c r="L56" i="14"/>
  <c r="L57" i="14" s="1"/>
  <c r="C45" i="7"/>
  <c r="C24" i="7" s="1"/>
  <c r="C29" i="7" s="1"/>
  <c r="C32" i="7" s="1"/>
  <c r="C117" i="7"/>
  <c r="I33" i="13"/>
  <c r="I37" i="13"/>
  <c r="I36" i="13"/>
  <c r="F38" i="11"/>
  <c r="F34" i="11" s="1"/>
  <c r="F40" i="11"/>
  <c r="E114" i="10"/>
  <c r="J116" i="10"/>
  <c r="G113" i="10"/>
  <c r="J111" i="10"/>
  <c r="J117" i="10" s="1"/>
  <c r="J48" i="10" s="1"/>
  <c r="J24" i="10" s="1"/>
  <c r="J29" i="10" s="1"/>
  <c r="J35" i="10" s="1"/>
  <c r="M119" i="10"/>
  <c r="L113" i="10"/>
  <c r="L117" i="10" s="1"/>
  <c r="L48" i="10" s="1"/>
  <c r="L24" i="10" s="1"/>
  <c r="L29" i="10" s="1"/>
  <c r="L35" i="10" s="1"/>
  <c r="E33" i="12"/>
  <c r="F33" i="13"/>
  <c r="F36" i="13"/>
  <c r="F37" i="13"/>
  <c r="D36" i="13"/>
  <c r="D37" i="13"/>
  <c r="D33" i="13"/>
  <c r="C70" i="12"/>
  <c r="C12" i="12"/>
  <c r="G73" i="12"/>
  <c r="C74" i="12"/>
  <c r="E74" i="12" s="1"/>
  <c r="G74" i="12"/>
  <c r="C69" i="12"/>
  <c r="E69" i="12"/>
  <c r="E73" i="12" s="1"/>
  <c r="K4" i="12" s="1"/>
  <c r="I115" i="10"/>
  <c r="C115" i="10"/>
  <c r="K115" i="10"/>
  <c r="H33" i="12"/>
  <c r="E111" i="7"/>
  <c r="J38" i="7"/>
  <c r="J34" i="7" s="1"/>
  <c r="J35" i="7" s="1"/>
  <c r="P29" i="7" s="1"/>
  <c r="J40" i="7"/>
  <c r="F35" i="11"/>
  <c r="I41" i="11"/>
  <c r="I43" i="11" s="1"/>
  <c r="I44" i="11" s="1"/>
  <c r="I42" i="11"/>
  <c r="D63" i="6"/>
  <c r="M115" i="10"/>
  <c r="C114" i="10"/>
  <c r="N119" i="10"/>
  <c r="I33" i="12"/>
  <c r="D35" i="11"/>
  <c r="G35" i="11"/>
  <c r="F117" i="10"/>
  <c r="F48" i="10" s="1"/>
  <c r="F24" i="10" s="1"/>
  <c r="F29" i="10" s="1"/>
  <c r="F35" i="10" s="1"/>
  <c r="H117" i="10"/>
  <c r="H48" i="10" s="1"/>
  <c r="H24" i="10" s="1"/>
  <c r="H29" i="10" s="1"/>
  <c r="H35" i="10" s="1"/>
  <c r="D120" i="10"/>
  <c r="E119" i="10"/>
  <c r="M33" i="12"/>
  <c r="D38" i="11"/>
  <c r="D34" i="11" s="1"/>
  <c r="D40" i="11"/>
  <c r="D89" i="7"/>
  <c r="D93" i="7"/>
  <c r="D82" i="7"/>
  <c r="D95" i="7"/>
  <c r="D79" i="7"/>
  <c r="D87" i="7"/>
  <c r="D92" i="7"/>
  <c r="D94" i="7"/>
  <c r="D96" i="7"/>
  <c r="D97" i="7"/>
  <c r="D98" i="7"/>
  <c r="D99" i="7"/>
  <c r="D100" i="7"/>
  <c r="D101" i="7"/>
  <c r="D80" i="7"/>
  <c r="D102" i="7"/>
  <c r="D85" i="7"/>
  <c r="D84" i="7"/>
  <c r="D109" i="7" s="1"/>
  <c r="D88" i="7"/>
  <c r="D110" i="7" s="1"/>
  <c r="D83" i="7"/>
  <c r="D81" i="7"/>
  <c r="D91" i="7"/>
  <c r="E33" i="11"/>
  <c r="E36" i="11"/>
  <c r="E37" i="11"/>
  <c r="G38" i="7"/>
  <c r="G34" i="7" s="1"/>
  <c r="G35" i="7" s="1"/>
  <c r="G40" i="7"/>
  <c r="C38" i="11"/>
  <c r="C34" i="11" s="1"/>
  <c r="C35" i="11" s="1"/>
  <c r="C40" i="11"/>
  <c r="E111" i="10"/>
  <c r="E117" i="10" s="1"/>
  <c r="E48" i="10" s="1"/>
  <c r="E24" i="10" s="1"/>
  <c r="E29" i="10" s="1"/>
  <c r="E35" i="10" s="1"/>
  <c r="J115" i="10"/>
  <c r="G115" i="10"/>
  <c r="M114" i="10"/>
  <c r="K119" i="10"/>
  <c r="K120" i="10" s="1"/>
  <c r="C119" i="10"/>
  <c r="L33" i="12"/>
  <c r="J114" i="13"/>
  <c r="J45" i="13" s="1"/>
  <c r="J24" i="13" s="1"/>
  <c r="J29" i="13" s="1"/>
  <c r="J32" i="13" s="1"/>
  <c r="I37" i="10"/>
  <c r="G38" i="11"/>
  <c r="G34" i="11" s="1"/>
  <c r="G40" i="11"/>
  <c r="C36" i="13"/>
  <c r="C33" i="13"/>
  <c r="C37" i="13"/>
  <c r="N112" i="10"/>
  <c r="N111" i="10"/>
  <c r="F119" i="10"/>
  <c r="F120" i="10" s="1"/>
  <c r="F33" i="12"/>
  <c r="H36" i="13"/>
  <c r="H33" i="13"/>
  <c r="H37" i="13"/>
  <c r="N40" i="15"/>
  <c r="D114" i="10"/>
  <c r="E115" i="10"/>
  <c r="I116" i="10"/>
  <c r="M113" i="10"/>
  <c r="M117" i="10" s="1"/>
  <c r="M48" i="10" s="1"/>
  <c r="M24" i="10" s="1"/>
  <c r="M29" i="10" s="1"/>
  <c r="M35" i="10" s="1"/>
  <c r="K111" i="10"/>
  <c r="K117" i="10" s="1"/>
  <c r="K48" i="10" s="1"/>
  <c r="K24" i="10" s="1"/>
  <c r="K29" i="10" s="1"/>
  <c r="K35" i="10" s="1"/>
  <c r="G33" i="12"/>
  <c r="N117" i="13"/>
  <c r="C73" i="15"/>
  <c r="K3" i="15" s="1"/>
  <c r="K5" i="15" s="1"/>
  <c r="N24" i="11"/>
  <c r="N29" i="11" s="1"/>
  <c r="N32" i="11" s="1"/>
  <c r="N45" i="11"/>
  <c r="N117" i="11"/>
  <c r="C111" i="10"/>
  <c r="L119" i="10"/>
  <c r="K33" i="12"/>
  <c r="E46" i="4"/>
  <c r="H38" i="11"/>
  <c r="H34" i="11" s="1"/>
  <c r="H35" i="11" s="1"/>
  <c r="H40" i="11"/>
  <c r="D89" i="6"/>
  <c r="D112" i="6" s="1"/>
  <c r="D93" i="6"/>
  <c r="D113" i="6" s="1"/>
  <c r="N35" i="7"/>
  <c r="E109" i="7"/>
  <c r="E114" i="7" s="1"/>
  <c r="N43" i="10"/>
  <c r="C73" i="6"/>
  <c r="K3" i="6" s="1"/>
  <c r="G36" i="15" l="1"/>
  <c r="G34" i="15"/>
  <c r="G40" i="15" s="1"/>
  <c r="D39" i="14"/>
  <c r="D41" i="14" s="1"/>
  <c r="D36" i="14"/>
  <c r="D40" i="14"/>
  <c r="D34" i="14"/>
  <c r="M36" i="10"/>
  <c r="M39" i="10"/>
  <c r="M40" i="10"/>
  <c r="M34" i="10"/>
  <c r="P24" i="11"/>
  <c r="Q25" i="11" s="1"/>
  <c r="P23" i="11"/>
  <c r="F117" i="6"/>
  <c r="F48" i="6" s="1"/>
  <c r="F24" i="6" s="1"/>
  <c r="F29" i="6" s="1"/>
  <c r="F35" i="6" s="1"/>
  <c r="E45" i="7"/>
  <c r="E24" i="7" s="1"/>
  <c r="E29" i="7" s="1"/>
  <c r="E32" i="7" s="1"/>
  <c r="E117" i="7"/>
  <c r="P28" i="7"/>
  <c r="Q29" i="7" s="1"/>
  <c r="P27" i="7"/>
  <c r="J40" i="14"/>
  <c r="J39" i="14"/>
  <c r="J41" i="14" s="1"/>
  <c r="J37" i="14" s="1"/>
  <c r="J36" i="14"/>
  <c r="J34" i="14"/>
  <c r="L40" i="10"/>
  <c r="L36" i="10"/>
  <c r="L39" i="10"/>
  <c r="L34" i="10"/>
  <c r="C112" i="6"/>
  <c r="C117" i="6" s="1"/>
  <c r="N117" i="10"/>
  <c r="C42" i="11"/>
  <c r="C41" i="11"/>
  <c r="C43" i="11" s="1"/>
  <c r="C44" i="11" s="1"/>
  <c r="H40" i="10"/>
  <c r="H39" i="10"/>
  <c r="H36" i="10"/>
  <c r="H34" i="10"/>
  <c r="C73" i="12"/>
  <c r="K3" i="12" s="1"/>
  <c r="F38" i="13"/>
  <c r="F34" i="13" s="1"/>
  <c r="F40" i="13"/>
  <c r="F115" i="14"/>
  <c r="M116" i="14"/>
  <c r="J120" i="10"/>
  <c r="G112" i="6"/>
  <c r="J113" i="6"/>
  <c r="K119" i="6"/>
  <c r="D37" i="14"/>
  <c r="N114" i="15"/>
  <c r="L115" i="15"/>
  <c r="F112" i="15"/>
  <c r="F117" i="15" s="1"/>
  <c r="F48" i="15" s="1"/>
  <c r="F24" i="15" s="1"/>
  <c r="F29" i="15" s="1"/>
  <c r="F35" i="15" s="1"/>
  <c r="F40" i="10"/>
  <c r="F36" i="10"/>
  <c r="F39" i="10"/>
  <c r="F34" i="10"/>
  <c r="J42" i="7"/>
  <c r="J41" i="7"/>
  <c r="J43" i="7" s="1"/>
  <c r="J44" i="7" s="1"/>
  <c r="F35" i="13"/>
  <c r="C37" i="7"/>
  <c r="C36" i="7"/>
  <c r="C33" i="7"/>
  <c r="J119" i="14"/>
  <c r="J120" i="14" s="1"/>
  <c r="C115" i="14"/>
  <c r="E120" i="6"/>
  <c r="N41" i="7"/>
  <c r="N43" i="7" s="1"/>
  <c r="N44" i="7" s="1"/>
  <c r="N42" i="7"/>
  <c r="F113" i="15"/>
  <c r="I111" i="15"/>
  <c r="C111" i="15"/>
  <c r="D112" i="7"/>
  <c r="M113" i="14"/>
  <c r="H116" i="14"/>
  <c r="I114" i="14"/>
  <c r="J115" i="6"/>
  <c r="I45" i="10"/>
  <c r="I44" i="10"/>
  <c r="I46" i="10" s="1"/>
  <c r="I47" i="10" s="1"/>
  <c r="H112" i="15"/>
  <c r="I113" i="15"/>
  <c r="H114" i="15"/>
  <c r="M115" i="14"/>
  <c r="D117" i="6"/>
  <c r="D48" i="6" s="1"/>
  <c r="D24" i="6" s="1"/>
  <c r="D29" i="6" s="1"/>
  <c r="D35" i="6" s="1"/>
  <c r="J112" i="15"/>
  <c r="H111" i="15"/>
  <c r="N36" i="13"/>
  <c r="N37" i="13"/>
  <c r="N33" i="13"/>
  <c r="J42" i="6"/>
  <c r="I42" i="6"/>
  <c r="L42" i="6"/>
  <c r="M42" i="6"/>
  <c r="C42" i="6"/>
  <c r="N42" i="6"/>
  <c r="K42" i="6"/>
  <c r="H42" i="6"/>
  <c r="G42" i="6"/>
  <c r="F42" i="6"/>
  <c r="E42" i="6"/>
  <c r="D42" i="6"/>
  <c r="D111" i="7"/>
  <c r="K113" i="12"/>
  <c r="K110" i="12"/>
  <c r="K106" i="12"/>
  <c r="K111" i="12"/>
  <c r="K109" i="12"/>
  <c r="K112" i="12"/>
  <c r="C110" i="12"/>
  <c r="K107" i="12"/>
  <c r="H109" i="12"/>
  <c r="H113" i="12" s="1"/>
  <c r="H107" i="12"/>
  <c r="I110" i="12"/>
  <c r="K116" i="12"/>
  <c r="N112" i="12"/>
  <c r="K114" i="12"/>
  <c r="K58" i="12"/>
  <c r="K59" i="12" s="1"/>
  <c r="G106" i="12"/>
  <c r="E108" i="12"/>
  <c r="F106" i="12"/>
  <c r="N106" i="12"/>
  <c r="C109" i="12"/>
  <c r="C115" i="12" s="1"/>
  <c r="C108" i="12"/>
  <c r="F53" i="12"/>
  <c r="F55" i="12" s="1"/>
  <c r="M109" i="12"/>
  <c r="M107" i="12"/>
  <c r="H110" i="12"/>
  <c r="H112" i="12" s="1"/>
  <c r="H108" i="12"/>
  <c r="I106" i="12"/>
  <c r="J107" i="12"/>
  <c r="G109" i="12"/>
  <c r="G111" i="12" s="1"/>
  <c r="G107" i="12"/>
  <c r="L53" i="12"/>
  <c r="L55" i="12" s="1"/>
  <c r="D58" i="12"/>
  <c r="D59" i="12" s="1"/>
  <c r="H58" i="12"/>
  <c r="H59" i="12" s="1"/>
  <c r="L106" i="12"/>
  <c r="N109" i="12"/>
  <c r="N114" i="12" s="1"/>
  <c r="M53" i="12"/>
  <c r="M55" i="12" s="1"/>
  <c r="N58" i="12"/>
  <c r="N59" i="12" s="1"/>
  <c r="F108" i="12"/>
  <c r="E106" i="12"/>
  <c r="H106" i="12"/>
  <c r="E53" i="12"/>
  <c r="E55" i="12" s="1"/>
  <c r="N110" i="12"/>
  <c r="N107" i="12"/>
  <c r="E58" i="12"/>
  <c r="E59" i="12" s="1"/>
  <c r="M106" i="12"/>
  <c r="M114" i="12" s="1"/>
  <c r="G53" i="12"/>
  <c r="G55" i="12" s="1"/>
  <c r="C58" i="12"/>
  <c r="C59" i="12" s="1"/>
  <c r="D107" i="12"/>
  <c r="L109" i="12"/>
  <c r="L58" i="12"/>
  <c r="L59" i="12" s="1"/>
  <c r="L107" i="12"/>
  <c r="F110" i="12"/>
  <c r="J106" i="12"/>
  <c r="G108" i="12"/>
  <c r="G58" i="12"/>
  <c r="G59" i="12" s="1"/>
  <c r="D106" i="12"/>
  <c r="C53" i="12"/>
  <c r="C55" i="12" s="1"/>
  <c r="C119" i="12" s="1"/>
  <c r="L108" i="12"/>
  <c r="D108" i="12"/>
  <c r="I53" i="12"/>
  <c r="I55" i="12" s="1"/>
  <c r="I119" i="12" s="1"/>
  <c r="M58" i="12"/>
  <c r="M59" i="12" s="1"/>
  <c r="N56" i="12"/>
  <c r="N57" i="12" s="1"/>
  <c r="D109" i="12"/>
  <c r="M108" i="12"/>
  <c r="D110" i="12"/>
  <c r="D114" i="12" s="1"/>
  <c r="F107" i="12"/>
  <c r="K108" i="12"/>
  <c r="J110" i="12"/>
  <c r="J108" i="12"/>
  <c r="E107" i="12"/>
  <c r="M110" i="12"/>
  <c r="M113" i="12" s="1"/>
  <c r="J109" i="12"/>
  <c r="J112" i="12" s="1"/>
  <c r="I109" i="12"/>
  <c r="I111" i="12" s="1"/>
  <c r="I107" i="12"/>
  <c r="F58" i="12"/>
  <c r="F59" i="12" s="1"/>
  <c r="J58" i="12"/>
  <c r="J59" i="12" s="1"/>
  <c r="F109" i="12"/>
  <c r="F116" i="12" s="1"/>
  <c r="N108" i="12"/>
  <c r="J53" i="12"/>
  <c r="J55" i="12" s="1"/>
  <c r="N53" i="12"/>
  <c r="N55" i="12" s="1"/>
  <c r="C107" i="12"/>
  <c r="C56" i="12"/>
  <c r="C57" i="12" s="1"/>
  <c r="J111" i="12"/>
  <c r="L110" i="12"/>
  <c r="L113" i="12" s="1"/>
  <c r="C116" i="12"/>
  <c r="J114" i="12"/>
  <c r="I108" i="12"/>
  <c r="N115" i="12"/>
  <c r="F111" i="12"/>
  <c r="G110" i="12"/>
  <c r="L111" i="12"/>
  <c r="I115" i="12"/>
  <c r="K115" i="12"/>
  <c r="F115" i="12"/>
  <c r="E110" i="12"/>
  <c r="F114" i="12"/>
  <c r="K53" i="12"/>
  <c r="K55" i="12" s="1"/>
  <c r="K119" i="12" s="1"/>
  <c r="F112" i="12"/>
  <c r="D53" i="12"/>
  <c r="D55" i="12" s="1"/>
  <c r="I113" i="12"/>
  <c r="H114" i="12"/>
  <c r="F113" i="12"/>
  <c r="H53" i="12"/>
  <c r="H55" i="12" s="1"/>
  <c r="N116" i="12"/>
  <c r="C106" i="12"/>
  <c r="C113" i="12" s="1"/>
  <c r="C111" i="12"/>
  <c r="J113" i="12"/>
  <c r="E109" i="12"/>
  <c r="E114" i="12" s="1"/>
  <c r="J116" i="12"/>
  <c r="I58" i="12"/>
  <c r="I59" i="12" s="1"/>
  <c r="L112" i="12"/>
  <c r="D115" i="12"/>
  <c r="D116" i="12"/>
  <c r="D111" i="12"/>
  <c r="J56" i="12"/>
  <c r="J57" i="12" s="1"/>
  <c r="M56" i="12"/>
  <c r="M57" i="12" s="1"/>
  <c r="G56" i="12"/>
  <c r="G57" i="12" s="1"/>
  <c r="H56" i="12"/>
  <c r="H57" i="12" s="1"/>
  <c r="K56" i="12"/>
  <c r="K57" i="12" s="1"/>
  <c r="D56" i="12"/>
  <c r="D57" i="12" s="1"/>
  <c r="L56" i="12"/>
  <c r="L57" i="12" s="1"/>
  <c r="E56" i="12"/>
  <c r="E57" i="12" s="1"/>
  <c r="I56" i="12"/>
  <c r="I57" i="12" s="1"/>
  <c r="F56" i="12"/>
  <c r="F57" i="12" s="1"/>
  <c r="M120" i="10"/>
  <c r="H113" i="14"/>
  <c r="G115" i="6"/>
  <c r="F112" i="6"/>
  <c r="K42" i="16"/>
  <c r="D42" i="16"/>
  <c r="G42" i="16"/>
  <c r="H42" i="16"/>
  <c r="M42" i="16"/>
  <c r="F42" i="16"/>
  <c r="I42" i="16"/>
  <c r="J42" i="16"/>
  <c r="E42" i="16"/>
  <c r="L42" i="16"/>
  <c r="C42" i="16"/>
  <c r="N42" i="16"/>
  <c r="F115" i="15"/>
  <c r="I116" i="15"/>
  <c r="J111" i="15"/>
  <c r="L116" i="15"/>
  <c r="N113" i="15"/>
  <c r="H42" i="15"/>
  <c r="G42" i="15"/>
  <c r="I42" i="15"/>
  <c r="M42" i="15"/>
  <c r="C42" i="15"/>
  <c r="N42" i="15"/>
  <c r="E42" i="15"/>
  <c r="L42" i="15"/>
  <c r="J42" i="15"/>
  <c r="F42" i="15"/>
  <c r="D42" i="15"/>
  <c r="K42" i="15"/>
  <c r="J36" i="10"/>
  <c r="J40" i="10"/>
  <c r="J39" i="10"/>
  <c r="J34" i="10"/>
  <c r="N114" i="14"/>
  <c r="H111" i="14"/>
  <c r="K119" i="14"/>
  <c r="F111" i="14"/>
  <c r="F117" i="14" s="1"/>
  <c r="F48" i="14" s="1"/>
  <c r="F24" i="14" s="1"/>
  <c r="F29" i="14" s="1"/>
  <c r="F35" i="14" s="1"/>
  <c r="F113" i="6"/>
  <c r="I114" i="6"/>
  <c r="L119" i="6"/>
  <c r="F114" i="15"/>
  <c r="M117" i="15"/>
  <c r="M48" i="15" s="1"/>
  <c r="M24" i="15" s="1"/>
  <c r="M29" i="15" s="1"/>
  <c r="M35" i="15" s="1"/>
  <c r="C114" i="15"/>
  <c r="C113" i="15"/>
  <c r="C119" i="15"/>
  <c r="E38" i="11"/>
  <c r="E34" i="11" s="1"/>
  <c r="E40" i="11"/>
  <c r="E35" i="11"/>
  <c r="C38" i="13"/>
  <c r="C34" i="13" s="1"/>
  <c r="C40" i="13"/>
  <c r="K5" i="6"/>
  <c r="I113" i="14"/>
  <c r="H115" i="14"/>
  <c r="N116" i="14"/>
  <c r="L112" i="6"/>
  <c r="F115" i="6"/>
  <c r="J112" i="6"/>
  <c r="G119" i="6"/>
  <c r="G120" i="6" s="1"/>
  <c r="D39" i="10"/>
  <c r="D40" i="10"/>
  <c r="D36" i="10"/>
  <c r="D34" i="10"/>
  <c r="E111" i="15"/>
  <c r="C112" i="15"/>
  <c r="D119" i="15"/>
  <c r="I38" i="10"/>
  <c r="C35" i="13"/>
  <c r="J37" i="13"/>
  <c r="J36" i="13"/>
  <c r="J33" i="13"/>
  <c r="C113" i="14"/>
  <c r="C117" i="14" s="1"/>
  <c r="I111" i="14"/>
  <c r="I117" i="14" s="1"/>
  <c r="I48" i="14" s="1"/>
  <c r="I24" i="14" s="1"/>
  <c r="I29" i="14" s="1"/>
  <c r="I35" i="14" s="1"/>
  <c r="E112" i="14"/>
  <c r="N112" i="14"/>
  <c r="H114" i="14"/>
  <c r="I119" i="14"/>
  <c r="F114" i="14"/>
  <c r="K111" i="14"/>
  <c r="K117" i="14" s="1"/>
  <c r="K48" i="14" s="1"/>
  <c r="K24" i="14" s="1"/>
  <c r="K29" i="14" s="1"/>
  <c r="K35" i="14" s="1"/>
  <c r="G38" i="13"/>
  <c r="G34" i="13" s="1"/>
  <c r="G35" i="13" s="1"/>
  <c r="G40" i="13"/>
  <c r="G111" i="6"/>
  <c r="G117" i="6" s="1"/>
  <c r="G48" i="6" s="1"/>
  <c r="G24" i="6" s="1"/>
  <c r="G29" i="6" s="1"/>
  <c r="G35" i="6" s="1"/>
  <c r="G114" i="6"/>
  <c r="L113" i="6"/>
  <c r="M116" i="6"/>
  <c r="N116" i="6"/>
  <c r="N111" i="15"/>
  <c r="H116" i="15"/>
  <c r="G120" i="15"/>
  <c r="N119" i="15"/>
  <c r="K5" i="12"/>
  <c r="N120" i="10"/>
  <c r="C114" i="14"/>
  <c r="F116" i="14"/>
  <c r="M113" i="6"/>
  <c r="M117" i="6" s="1"/>
  <c r="M48" i="6" s="1"/>
  <c r="M24" i="6" s="1"/>
  <c r="M29" i="6" s="1"/>
  <c r="M35" i="6" s="1"/>
  <c r="L116" i="6"/>
  <c r="M119" i="6"/>
  <c r="J119" i="6"/>
  <c r="K106" i="16"/>
  <c r="K113" i="16" s="1"/>
  <c r="K107" i="16"/>
  <c r="K108" i="16"/>
  <c r="K109" i="16"/>
  <c r="K110" i="16"/>
  <c r="C106" i="16"/>
  <c r="C116" i="16" s="1"/>
  <c r="I106" i="16"/>
  <c r="I114" i="16" s="1"/>
  <c r="L106" i="16"/>
  <c r="L108" i="16"/>
  <c r="L109" i="16"/>
  <c r="E109" i="16"/>
  <c r="J111" i="16"/>
  <c r="H108" i="16"/>
  <c r="N109" i="16"/>
  <c r="D110" i="16"/>
  <c r="D108" i="16"/>
  <c r="K53" i="16"/>
  <c r="K55" i="16" s="1"/>
  <c r="K119" i="16" s="1"/>
  <c r="L53" i="16"/>
  <c r="L55" i="16" s="1"/>
  <c r="M107" i="16"/>
  <c r="M53" i="16"/>
  <c r="M55" i="16" s="1"/>
  <c r="M109" i="16"/>
  <c r="I107" i="16"/>
  <c r="M106" i="16"/>
  <c r="M115" i="16" s="1"/>
  <c r="M110" i="16"/>
  <c r="J58" i="16"/>
  <c r="J59" i="16" s="1"/>
  <c r="I110" i="16"/>
  <c r="G106" i="16"/>
  <c r="G115" i="16" s="1"/>
  <c r="N106" i="16"/>
  <c r="N114" i="16" s="1"/>
  <c r="C109" i="16"/>
  <c r="E58" i="16"/>
  <c r="E59" i="16" s="1"/>
  <c r="N108" i="16"/>
  <c r="J53" i="16"/>
  <c r="J55" i="16" s="1"/>
  <c r="H106" i="16"/>
  <c r="H115" i="16" s="1"/>
  <c r="H53" i="16"/>
  <c r="H55" i="16" s="1"/>
  <c r="J107" i="16"/>
  <c r="J114" i="16" s="1"/>
  <c r="K58" i="16"/>
  <c r="K59" i="16" s="1"/>
  <c r="D109" i="16"/>
  <c r="C53" i="16"/>
  <c r="C55" i="16" s="1"/>
  <c r="C108" i="16"/>
  <c r="C112" i="16" s="1"/>
  <c r="H109" i="16"/>
  <c r="E110" i="16"/>
  <c r="G53" i="16"/>
  <c r="G55" i="16" s="1"/>
  <c r="G109" i="16"/>
  <c r="N107" i="16"/>
  <c r="N58" i="16"/>
  <c r="N59" i="16" s="1"/>
  <c r="L58" i="16"/>
  <c r="L59" i="16" s="1"/>
  <c r="M108" i="16"/>
  <c r="D106" i="16"/>
  <c r="D116" i="16" s="1"/>
  <c r="H58" i="16"/>
  <c r="H59" i="16" s="1"/>
  <c r="M58" i="16"/>
  <c r="M59" i="16" s="1"/>
  <c r="D53" i="16"/>
  <c r="D55" i="16" s="1"/>
  <c r="F109" i="16"/>
  <c r="I58" i="16"/>
  <c r="I59" i="16" s="1"/>
  <c r="J110" i="16"/>
  <c r="E53" i="16"/>
  <c r="E55" i="16" s="1"/>
  <c r="J109" i="16"/>
  <c r="L110" i="16"/>
  <c r="F58" i="16"/>
  <c r="F59" i="16" s="1"/>
  <c r="G107" i="16"/>
  <c r="H110" i="16"/>
  <c r="J108" i="16"/>
  <c r="C110" i="16"/>
  <c r="H107" i="16"/>
  <c r="D107" i="16"/>
  <c r="D114" i="16" s="1"/>
  <c r="C56" i="16"/>
  <c r="C57" i="16" s="1"/>
  <c r="F106" i="16"/>
  <c r="I109" i="16"/>
  <c r="N56" i="16"/>
  <c r="N57" i="16" s="1"/>
  <c r="L107" i="16"/>
  <c r="I111" i="16"/>
  <c r="I53" i="16"/>
  <c r="I55" i="16" s="1"/>
  <c r="E108" i="16"/>
  <c r="G108" i="16"/>
  <c r="G110" i="16"/>
  <c r="E116" i="16"/>
  <c r="C58" i="16"/>
  <c r="C59" i="16" s="1"/>
  <c r="J116" i="16"/>
  <c r="D58" i="16"/>
  <c r="D59" i="16" s="1"/>
  <c r="J115" i="16"/>
  <c r="E106" i="16"/>
  <c r="F108" i="16"/>
  <c r="J112" i="16"/>
  <c r="N110" i="16"/>
  <c r="J106" i="16"/>
  <c r="N115" i="16"/>
  <c r="N53" i="16"/>
  <c r="N55" i="16" s="1"/>
  <c r="N119" i="16" s="1"/>
  <c r="F110" i="16"/>
  <c r="L115" i="16"/>
  <c r="N111" i="16"/>
  <c r="E114" i="16"/>
  <c r="G58" i="16"/>
  <c r="G59" i="16" s="1"/>
  <c r="L112" i="16"/>
  <c r="E111" i="16"/>
  <c r="E117" i="16" s="1"/>
  <c r="E48" i="16" s="1"/>
  <c r="E24" i="16" s="1"/>
  <c r="E29" i="16" s="1"/>
  <c r="E35" i="16" s="1"/>
  <c r="E113" i="16"/>
  <c r="C107" i="16"/>
  <c r="H116" i="16"/>
  <c r="L114" i="16"/>
  <c r="N116" i="16"/>
  <c r="E115" i="16"/>
  <c r="F107" i="16"/>
  <c r="F116" i="16" s="1"/>
  <c r="L116" i="16"/>
  <c r="E107" i="16"/>
  <c r="L113" i="16"/>
  <c r="I108" i="16"/>
  <c r="I113" i="16" s="1"/>
  <c r="H112" i="16"/>
  <c r="L111" i="16"/>
  <c r="L117" i="16" s="1"/>
  <c r="L48" i="16" s="1"/>
  <c r="L24" i="16" s="1"/>
  <c r="L29" i="16" s="1"/>
  <c r="L35" i="16" s="1"/>
  <c r="F111" i="16"/>
  <c r="F53" i="16"/>
  <c r="F55" i="16" s="1"/>
  <c r="F119" i="16" s="1"/>
  <c r="D113" i="16"/>
  <c r="E112" i="16"/>
  <c r="D115" i="16"/>
  <c r="D111" i="16"/>
  <c r="D56" i="16"/>
  <c r="D57" i="16" s="1"/>
  <c r="G56" i="16"/>
  <c r="G57" i="16" s="1"/>
  <c r="L56" i="16"/>
  <c r="L57" i="16" s="1"/>
  <c r="J56" i="16"/>
  <c r="J57" i="16" s="1"/>
  <c r="K56" i="16"/>
  <c r="K57" i="16" s="1"/>
  <c r="E56" i="16"/>
  <c r="E57" i="16" s="1"/>
  <c r="I56" i="16"/>
  <c r="I57" i="16" s="1"/>
  <c r="H56" i="16"/>
  <c r="H57" i="16" s="1"/>
  <c r="M56" i="16"/>
  <c r="M57" i="16" s="1"/>
  <c r="F56" i="16"/>
  <c r="F57" i="16" s="1"/>
  <c r="E116" i="15"/>
  <c r="D112" i="15"/>
  <c r="H113" i="15"/>
  <c r="E36" i="6"/>
  <c r="E40" i="6"/>
  <c r="E34" i="6"/>
  <c r="D38" i="13"/>
  <c r="D34" i="13" s="1"/>
  <c r="D35" i="13" s="1"/>
  <c r="D40" i="13"/>
  <c r="E117" i="14"/>
  <c r="E48" i="14" s="1"/>
  <c r="E24" i="14" s="1"/>
  <c r="E29" i="14" s="1"/>
  <c r="E35" i="14" s="1"/>
  <c r="L119" i="14"/>
  <c r="N111" i="14"/>
  <c r="N117" i="14" s="1"/>
  <c r="N48" i="14" s="1"/>
  <c r="N24" i="14" s="1"/>
  <c r="N29" i="14" s="1"/>
  <c r="N35" i="14" s="1"/>
  <c r="J111" i="6"/>
  <c r="C116" i="6"/>
  <c r="J114" i="6"/>
  <c r="H119" i="6"/>
  <c r="M115" i="6"/>
  <c r="H112" i="6"/>
  <c r="H117" i="6" s="1"/>
  <c r="H48" i="6" s="1"/>
  <c r="H24" i="6" s="1"/>
  <c r="H29" i="6" s="1"/>
  <c r="H35" i="6" s="1"/>
  <c r="D114" i="15"/>
  <c r="E113" i="15"/>
  <c r="N115" i="15"/>
  <c r="I115" i="15"/>
  <c r="K111" i="15"/>
  <c r="K117" i="15" s="1"/>
  <c r="K48" i="15" s="1"/>
  <c r="K24" i="15" s="1"/>
  <c r="K29" i="15" s="1"/>
  <c r="K35" i="15" s="1"/>
  <c r="C116" i="15"/>
  <c r="K39" i="10"/>
  <c r="K36" i="10"/>
  <c r="K40" i="10"/>
  <c r="K34" i="10"/>
  <c r="D48" i="4" s="1"/>
  <c r="L111" i="14"/>
  <c r="L117" i="14" s="1"/>
  <c r="L48" i="14" s="1"/>
  <c r="L24" i="14" s="1"/>
  <c r="L29" i="14" s="1"/>
  <c r="L35" i="14" s="1"/>
  <c r="N115" i="14"/>
  <c r="C116" i="14"/>
  <c r="D119" i="14"/>
  <c r="D120" i="14" s="1"/>
  <c r="G112" i="14"/>
  <c r="I115" i="6"/>
  <c r="L111" i="6"/>
  <c r="L117" i="6" s="1"/>
  <c r="L48" i="6" s="1"/>
  <c r="L24" i="6" s="1"/>
  <c r="L29" i="6" s="1"/>
  <c r="L35" i="6" s="1"/>
  <c r="F114" i="6"/>
  <c r="I119" i="6"/>
  <c r="K116" i="6"/>
  <c r="I112" i="6"/>
  <c r="I117" i="6" s="1"/>
  <c r="I48" i="6" s="1"/>
  <c r="I24" i="6" s="1"/>
  <c r="I29" i="6" s="1"/>
  <c r="I35" i="6" s="1"/>
  <c r="E112" i="15"/>
  <c r="I114" i="15"/>
  <c r="L112" i="15"/>
  <c r="L117" i="15" s="1"/>
  <c r="L48" i="15" s="1"/>
  <c r="L24" i="15" s="1"/>
  <c r="L29" i="15" s="1"/>
  <c r="L35" i="15" s="1"/>
  <c r="J115" i="15"/>
  <c r="E37" i="13"/>
  <c r="E36" i="13"/>
  <c r="E33" i="13"/>
  <c r="N45" i="10"/>
  <c r="N44" i="10"/>
  <c r="N46" i="10" s="1"/>
  <c r="N47" i="10" s="1"/>
  <c r="L120" i="10"/>
  <c r="H38" i="13"/>
  <c r="H34" i="13" s="1"/>
  <c r="H35" i="13" s="1"/>
  <c r="H40" i="13"/>
  <c r="D42" i="11"/>
  <c r="D41" i="11"/>
  <c r="D43" i="11" s="1"/>
  <c r="D44" i="11" s="1"/>
  <c r="F41" i="11"/>
  <c r="F43" i="11" s="1"/>
  <c r="F44" i="11" s="1"/>
  <c r="F42" i="11"/>
  <c r="N119" i="14"/>
  <c r="N120" i="14" s="1"/>
  <c r="C113" i="6"/>
  <c r="H113" i="6"/>
  <c r="N119" i="6"/>
  <c r="N120" i="6" s="1"/>
  <c r="K111" i="6"/>
  <c r="K117" i="6" s="1"/>
  <c r="K48" i="6" s="1"/>
  <c r="K24" i="6" s="1"/>
  <c r="K29" i="6" s="1"/>
  <c r="K35" i="6" s="1"/>
  <c r="E115" i="15"/>
  <c r="J116" i="15"/>
  <c r="K115" i="15"/>
  <c r="G41" i="11"/>
  <c r="G43" i="11" s="1"/>
  <c r="G44" i="11" s="1"/>
  <c r="G42" i="11"/>
  <c r="C117" i="10"/>
  <c r="C48" i="10" s="1"/>
  <c r="C24" i="10" s="1"/>
  <c r="C29" i="10" s="1"/>
  <c r="C35" i="10" s="1"/>
  <c r="J117" i="13"/>
  <c r="D108" i="7"/>
  <c r="D114" i="7" s="1"/>
  <c r="F119" i="14"/>
  <c r="F120" i="14" s="1"/>
  <c r="E119" i="14"/>
  <c r="E120" i="14" s="1"/>
  <c r="C114" i="6"/>
  <c r="N115" i="6"/>
  <c r="N114" i="6"/>
  <c r="H42" i="7"/>
  <c r="H41" i="7"/>
  <c r="H43" i="7" s="1"/>
  <c r="H44" i="7" s="1"/>
  <c r="D43" i="14"/>
  <c r="D111" i="15"/>
  <c r="I119" i="15"/>
  <c r="G42" i="7"/>
  <c r="G41" i="7"/>
  <c r="G43" i="7" s="1"/>
  <c r="G44" i="7" s="1"/>
  <c r="M111" i="14"/>
  <c r="M117" i="14" s="1"/>
  <c r="M48" i="14" s="1"/>
  <c r="M24" i="14" s="1"/>
  <c r="M29" i="14" s="1"/>
  <c r="M35" i="14" s="1"/>
  <c r="I38" i="13"/>
  <c r="I34" i="13" s="1"/>
  <c r="I35" i="13" s="1"/>
  <c r="I40" i="13"/>
  <c r="G111" i="14"/>
  <c r="N111" i="6"/>
  <c r="N117" i="6" s="1"/>
  <c r="K114" i="6"/>
  <c r="D113" i="15"/>
  <c r="N112" i="15"/>
  <c r="F119" i="15"/>
  <c r="F36" i="7"/>
  <c r="F33" i="7"/>
  <c r="F37" i="7"/>
  <c r="N36" i="11"/>
  <c r="N33" i="11"/>
  <c r="N37" i="11"/>
  <c r="E39" i="10"/>
  <c r="E40" i="10"/>
  <c r="E36" i="10"/>
  <c r="E34" i="10"/>
  <c r="H42" i="11"/>
  <c r="H41" i="11"/>
  <c r="H43" i="11" s="1"/>
  <c r="H44" i="11" s="1"/>
  <c r="D113" i="7"/>
  <c r="E120" i="10"/>
  <c r="E115" i="14"/>
  <c r="G119" i="14"/>
  <c r="D119" i="6"/>
  <c r="D120" i="6" s="1"/>
  <c r="G117" i="10"/>
  <c r="J43" i="14"/>
  <c r="L119" i="15"/>
  <c r="F39" i="15" l="1"/>
  <c r="F41" i="15" s="1"/>
  <c r="F37" i="15" s="1"/>
  <c r="F36" i="15"/>
  <c r="F38" i="15" s="1"/>
  <c r="F34" i="15"/>
  <c r="F40" i="15" s="1"/>
  <c r="M39" i="6"/>
  <c r="M41" i="6" s="1"/>
  <c r="M40" i="6"/>
  <c r="M36" i="6"/>
  <c r="M34" i="6"/>
  <c r="C48" i="6"/>
  <c r="C24" i="6" s="1"/>
  <c r="C29" i="6" s="1"/>
  <c r="C35" i="6" s="1"/>
  <c r="C120" i="6"/>
  <c r="H40" i="6"/>
  <c r="H39" i="6"/>
  <c r="H41" i="6" s="1"/>
  <c r="H36" i="6"/>
  <c r="H34" i="6"/>
  <c r="I39" i="6"/>
  <c r="I41" i="6" s="1"/>
  <c r="I40" i="6"/>
  <c r="I36" i="6"/>
  <c r="I34" i="6"/>
  <c r="C48" i="14"/>
  <c r="C24" i="14" s="1"/>
  <c r="C29" i="14" s="1"/>
  <c r="C35" i="14" s="1"/>
  <c r="C120" i="14"/>
  <c r="P23" i="13"/>
  <c r="L39" i="15"/>
  <c r="L41" i="15" s="1"/>
  <c r="L37" i="15" s="1"/>
  <c r="L36" i="15"/>
  <c r="L38" i="15" s="1"/>
  <c r="L34" i="15"/>
  <c r="L40" i="15" s="1"/>
  <c r="E42" i="11"/>
  <c r="E41" i="11"/>
  <c r="E43" i="11" s="1"/>
  <c r="E44" i="11" s="1"/>
  <c r="E113" i="12"/>
  <c r="F36" i="6"/>
  <c r="F39" i="6"/>
  <c r="F41" i="6" s="1"/>
  <c r="F40" i="6"/>
  <c r="F34" i="6"/>
  <c r="M116" i="16"/>
  <c r="K116" i="16"/>
  <c r="E119" i="16"/>
  <c r="E120" i="16" s="1"/>
  <c r="G119" i="16"/>
  <c r="H113" i="16"/>
  <c r="J41" i="10"/>
  <c r="J37" i="10" s="1"/>
  <c r="J38" i="10" s="1"/>
  <c r="J43" i="10"/>
  <c r="F120" i="6"/>
  <c r="H116" i="12"/>
  <c r="L114" i="12"/>
  <c r="G116" i="12"/>
  <c r="G112" i="12"/>
  <c r="F43" i="6"/>
  <c r="Q23" i="11"/>
  <c r="Q24" i="11"/>
  <c r="J117" i="16"/>
  <c r="J48" i="16" s="1"/>
  <c r="J24" i="16" s="1"/>
  <c r="J29" i="16" s="1"/>
  <c r="J35" i="16" s="1"/>
  <c r="L40" i="6"/>
  <c r="L36" i="6"/>
  <c r="L39" i="6"/>
  <c r="L41" i="6" s="1"/>
  <c r="L34" i="6"/>
  <c r="L40" i="16"/>
  <c r="L36" i="16"/>
  <c r="L39" i="16"/>
  <c r="L41" i="16" s="1"/>
  <c r="L37" i="16" s="1"/>
  <c r="L34" i="16"/>
  <c r="G114" i="16"/>
  <c r="J117" i="15"/>
  <c r="E112" i="12"/>
  <c r="L116" i="12"/>
  <c r="G43" i="6"/>
  <c r="N48" i="10"/>
  <c r="N24" i="10"/>
  <c r="N29" i="10" s="1"/>
  <c r="L117" i="12"/>
  <c r="L48" i="12" s="1"/>
  <c r="L24" i="12" s="1"/>
  <c r="L29" i="12" s="1"/>
  <c r="L35" i="12" s="1"/>
  <c r="K39" i="6"/>
  <c r="K41" i="6" s="1"/>
  <c r="K37" i="6" s="1"/>
  <c r="K36" i="6"/>
  <c r="K40" i="6"/>
  <c r="K34" i="6"/>
  <c r="C48" i="4" s="1"/>
  <c r="C115" i="16"/>
  <c r="M116" i="12"/>
  <c r="D119" i="12"/>
  <c r="F117" i="12"/>
  <c r="F48" i="12" s="1"/>
  <c r="F24" i="12" s="1"/>
  <c r="F29" i="12" s="1"/>
  <c r="F35" i="12" s="1"/>
  <c r="E116" i="12"/>
  <c r="K120" i="6"/>
  <c r="L41" i="10"/>
  <c r="L37" i="10" s="1"/>
  <c r="L38" i="10" s="1"/>
  <c r="L43" i="10"/>
  <c r="D44" i="14"/>
  <c r="D46" i="14" s="1"/>
  <c r="D47" i="14" s="1"/>
  <c r="D45" i="14"/>
  <c r="M120" i="6"/>
  <c r="E115" i="12"/>
  <c r="J117" i="12"/>
  <c r="J48" i="12" s="1"/>
  <c r="J24" i="12" s="1"/>
  <c r="J29" i="12" s="1"/>
  <c r="J35" i="12" s="1"/>
  <c r="E119" i="12"/>
  <c r="I116" i="16"/>
  <c r="M120" i="14"/>
  <c r="E35" i="13"/>
  <c r="E39" i="6"/>
  <c r="E41" i="6" s="1"/>
  <c r="E37" i="6" s="1"/>
  <c r="E38" i="6" s="1"/>
  <c r="F114" i="16"/>
  <c r="G116" i="16"/>
  <c r="J113" i="16"/>
  <c r="F113" i="16"/>
  <c r="D119" i="16"/>
  <c r="C119" i="16"/>
  <c r="M36" i="15"/>
  <c r="M39" i="15"/>
  <c r="M41" i="15" s="1"/>
  <c r="M37" i="15" s="1"/>
  <c r="M34" i="15"/>
  <c r="M40" i="15" s="1"/>
  <c r="D112" i="12"/>
  <c r="D117" i="12" s="1"/>
  <c r="D48" i="12" s="1"/>
  <c r="D24" i="12" s="1"/>
  <c r="D29" i="12" s="1"/>
  <c r="D35" i="12" s="1"/>
  <c r="H115" i="12"/>
  <c r="N113" i="12"/>
  <c r="C112" i="12"/>
  <c r="C117" i="12" s="1"/>
  <c r="M112" i="12"/>
  <c r="N43" i="6"/>
  <c r="M41" i="10"/>
  <c r="M37" i="10" s="1"/>
  <c r="M43" i="10"/>
  <c r="E41" i="10"/>
  <c r="E37" i="10" s="1"/>
  <c r="E43" i="10"/>
  <c r="G117" i="14"/>
  <c r="G48" i="14" s="1"/>
  <c r="G24" i="14" s="1"/>
  <c r="G29" i="14" s="1"/>
  <c r="G35" i="14" s="1"/>
  <c r="E38" i="13"/>
  <c r="E34" i="13" s="1"/>
  <c r="E40" i="13"/>
  <c r="D112" i="16"/>
  <c r="D117" i="16" s="1"/>
  <c r="D48" i="16" s="1"/>
  <c r="D24" i="16" s="1"/>
  <c r="D29" i="16" s="1"/>
  <c r="D35" i="16" s="1"/>
  <c r="F112" i="16"/>
  <c r="K114" i="16"/>
  <c r="J38" i="13"/>
  <c r="J34" i="13" s="1"/>
  <c r="J35" i="13" s="1"/>
  <c r="J40" i="13"/>
  <c r="F43" i="15"/>
  <c r="D113" i="12"/>
  <c r="N111" i="12"/>
  <c r="I116" i="12"/>
  <c r="G113" i="12"/>
  <c r="G117" i="12" s="1"/>
  <c r="G48" i="12" s="1"/>
  <c r="G24" i="12" s="1"/>
  <c r="G29" i="12" s="1"/>
  <c r="G35" i="12" s="1"/>
  <c r="J115" i="12"/>
  <c r="M38" i="10"/>
  <c r="I120" i="6"/>
  <c r="L120" i="15"/>
  <c r="I42" i="13"/>
  <c r="I41" i="13"/>
  <c r="I43" i="13" s="1"/>
  <c r="I44" i="13" s="1"/>
  <c r="M111" i="16"/>
  <c r="M119" i="16"/>
  <c r="G39" i="6"/>
  <c r="G41" i="6" s="1"/>
  <c r="G40" i="6"/>
  <c r="G36" i="6"/>
  <c r="G34" i="6"/>
  <c r="C114" i="12"/>
  <c r="G114" i="12"/>
  <c r="M111" i="12"/>
  <c r="M117" i="12" s="1"/>
  <c r="M48" i="12" s="1"/>
  <c r="M24" i="12" s="1"/>
  <c r="M29" i="12" s="1"/>
  <c r="M35" i="12" s="1"/>
  <c r="F119" i="12"/>
  <c r="F120" i="12" s="1"/>
  <c r="M43" i="6"/>
  <c r="J38" i="14"/>
  <c r="N117" i="15"/>
  <c r="L40" i="14"/>
  <c r="L36" i="14"/>
  <c r="L39" i="14"/>
  <c r="L34" i="14"/>
  <c r="E39" i="16"/>
  <c r="E41" i="16" s="1"/>
  <c r="E37" i="16" s="1"/>
  <c r="E36" i="16"/>
  <c r="E38" i="16" s="1"/>
  <c r="E40" i="16"/>
  <c r="E34" i="16"/>
  <c r="F115" i="16"/>
  <c r="G41" i="13"/>
  <c r="G43" i="13" s="1"/>
  <c r="G44" i="13" s="1"/>
  <c r="G42" i="13"/>
  <c r="L43" i="15"/>
  <c r="E43" i="16"/>
  <c r="G115" i="12"/>
  <c r="H111" i="12"/>
  <c r="H117" i="12" s="1"/>
  <c r="H48" i="12" s="1"/>
  <c r="H24" i="12" s="1"/>
  <c r="H29" i="12" s="1"/>
  <c r="H35" i="12" s="1"/>
  <c r="L43" i="6"/>
  <c r="C38" i="7"/>
  <c r="C34" i="7" s="1"/>
  <c r="C35" i="7" s="1"/>
  <c r="C40" i="7"/>
  <c r="I40" i="14"/>
  <c r="I36" i="14"/>
  <c r="I39" i="14"/>
  <c r="I34" i="14"/>
  <c r="N48" i="6"/>
  <c r="N24" i="6"/>
  <c r="N29" i="6" s="1"/>
  <c r="D45" i="7"/>
  <c r="D24" i="7" s="1"/>
  <c r="D29" i="7" s="1"/>
  <c r="D32" i="7" s="1"/>
  <c r="D117" i="7"/>
  <c r="H120" i="6"/>
  <c r="J44" i="14"/>
  <c r="J46" i="14" s="1"/>
  <c r="J47" i="14" s="1"/>
  <c r="J45" i="14"/>
  <c r="N38" i="11"/>
  <c r="N34" i="11" s="1"/>
  <c r="N40" i="11"/>
  <c r="M114" i="16"/>
  <c r="H114" i="16"/>
  <c r="N113" i="16"/>
  <c r="N112" i="16"/>
  <c r="N117" i="16" s="1"/>
  <c r="H119" i="16"/>
  <c r="H120" i="16" s="1"/>
  <c r="L119" i="16"/>
  <c r="L120" i="16" s="1"/>
  <c r="L120" i="6"/>
  <c r="I114" i="12"/>
  <c r="M119" i="12"/>
  <c r="I43" i="6"/>
  <c r="F42" i="13"/>
  <c r="F41" i="13"/>
  <c r="F43" i="13" s="1"/>
  <c r="F44" i="13" s="1"/>
  <c r="D38" i="14"/>
  <c r="F117" i="16"/>
  <c r="F48" i="16" s="1"/>
  <c r="F24" i="16" s="1"/>
  <c r="F29" i="16" s="1"/>
  <c r="F35" i="16" s="1"/>
  <c r="C40" i="10"/>
  <c r="C36" i="10"/>
  <c r="C39" i="10"/>
  <c r="C34" i="10"/>
  <c r="C111" i="16"/>
  <c r="C117" i="16" s="1"/>
  <c r="C48" i="16" s="1"/>
  <c r="C24" i="16" s="1"/>
  <c r="C29" i="16" s="1"/>
  <c r="C35" i="16" s="1"/>
  <c r="K39" i="14"/>
  <c r="K36" i="14"/>
  <c r="K40" i="14"/>
  <c r="K34" i="14"/>
  <c r="C106" i="4" s="1"/>
  <c r="M115" i="12"/>
  <c r="K117" i="12"/>
  <c r="K48" i="12" s="1"/>
  <c r="K24" i="12" s="1"/>
  <c r="K29" i="12" s="1"/>
  <c r="K35" i="12" s="1"/>
  <c r="M36" i="14"/>
  <c r="M39" i="14"/>
  <c r="M40" i="14"/>
  <c r="M34" i="14"/>
  <c r="G112" i="16"/>
  <c r="K120" i="16"/>
  <c r="K112" i="16"/>
  <c r="C120" i="10"/>
  <c r="J117" i="6"/>
  <c r="J48" i="6" s="1"/>
  <c r="J24" i="6" s="1"/>
  <c r="J29" i="6" s="1"/>
  <c r="J35" i="6" s="1"/>
  <c r="H111" i="16"/>
  <c r="H117" i="16" s="1"/>
  <c r="H48" i="16" s="1"/>
  <c r="H24" i="16" s="1"/>
  <c r="H29" i="16" s="1"/>
  <c r="H35" i="16" s="1"/>
  <c r="G113" i="16"/>
  <c r="C113" i="16"/>
  <c r="M112" i="16"/>
  <c r="J119" i="16"/>
  <c r="J120" i="16" s="1"/>
  <c r="K120" i="15"/>
  <c r="H119" i="12"/>
  <c r="H120" i="12" s="1"/>
  <c r="I112" i="12"/>
  <c r="I117" i="12" s="1"/>
  <c r="E111" i="12"/>
  <c r="N119" i="12"/>
  <c r="I42" i="12"/>
  <c r="E42" i="12"/>
  <c r="F42" i="12"/>
  <c r="D42" i="12"/>
  <c r="H42" i="12"/>
  <c r="M42" i="12"/>
  <c r="J42" i="12"/>
  <c r="G42" i="12"/>
  <c r="L42" i="12"/>
  <c r="K42" i="12"/>
  <c r="N42" i="12"/>
  <c r="C42" i="12"/>
  <c r="Q28" i="7"/>
  <c r="Q27" i="7"/>
  <c r="G120" i="14"/>
  <c r="F38" i="7"/>
  <c r="F34" i="7" s="1"/>
  <c r="F35" i="7" s="1"/>
  <c r="F40" i="7"/>
  <c r="H42" i="13"/>
  <c r="H41" i="13"/>
  <c r="H43" i="13" s="1"/>
  <c r="H44" i="13" s="1"/>
  <c r="N40" i="14"/>
  <c r="N36" i="14"/>
  <c r="N39" i="14"/>
  <c r="F120" i="16"/>
  <c r="M113" i="16"/>
  <c r="G111" i="16"/>
  <c r="G117" i="16" s="1"/>
  <c r="G48" i="16" s="1"/>
  <c r="G24" i="16" s="1"/>
  <c r="G29" i="16" s="1"/>
  <c r="G35" i="16" s="1"/>
  <c r="I115" i="16"/>
  <c r="C114" i="16"/>
  <c r="K111" i="16"/>
  <c r="K117" i="16" s="1"/>
  <c r="K48" i="16" s="1"/>
  <c r="K24" i="16" s="1"/>
  <c r="K29" i="16" s="1"/>
  <c r="K35" i="16" s="1"/>
  <c r="I120" i="14"/>
  <c r="E117" i="15"/>
  <c r="M37" i="6"/>
  <c r="G37" i="6"/>
  <c r="F37" i="6"/>
  <c r="H37" i="6"/>
  <c r="L37" i="6"/>
  <c r="I37" i="6"/>
  <c r="F36" i="14"/>
  <c r="F39" i="14"/>
  <c r="F40" i="14"/>
  <c r="F34" i="14"/>
  <c r="M43" i="15"/>
  <c r="J119" i="12"/>
  <c r="J120" i="12" s="1"/>
  <c r="E38" i="10"/>
  <c r="N35" i="11"/>
  <c r="F120" i="15"/>
  <c r="I120" i="15"/>
  <c r="K41" i="10"/>
  <c r="K37" i="10" s="1"/>
  <c r="K38" i="10" s="1"/>
  <c r="K43" i="10"/>
  <c r="L120" i="14"/>
  <c r="I112" i="16"/>
  <c r="I117" i="16" s="1"/>
  <c r="I48" i="16" s="1"/>
  <c r="I24" i="16" s="1"/>
  <c r="I29" i="16" s="1"/>
  <c r="I35" i="16" s="1"/>
  <c r="N120" i="15"/>
  <c r="C41" i="13"/>
  <c r="C43" i="13" s="1"/>
  <c r="C44" i="13" s="1"/>
  <c r="C42" i="13"/>
  <c r="K120" i="14"/>
  <c r="L115" i="12"/>
  <c r="N38" i="13"/>
  <c r="N34" i="13" s="1"/>
  <c r="N35" i="13" s="1"/>
  <c r="N40" i="13"/>
  <c r="D40" i="6"/>
  <c r="D36" i="6"/>
  <c r="D39" i="6"/>
  <c r="D41" i="6" s="1"/>
  <c r="D37" i="6" s="1"/>
  <c r="D34" i="6"/>
  <c r="M120" i="15"/>
  <c r="G48" i="10"/>
  <c r="G24" i="10" s="1"/>
  <c r="G29" i="10" s="1"/>
  <c r="G35" i="10" s="1"/>
  <c r="G120" i="10"/>
  <c r="D117" i="15"/>
  <c r="D48" i="15" s="1"/>
  <c r="D24" i="15" s="1"/>
  <c r="D29" i="15" s="1"/>
  <c r="D35" i="15" s="1"/>
  <c r="E40" i="14"/>
  <c r="E39" i="14"/>
  <c r="E36" i="14"/>
  <c r="E34" i="14"/>
  <c r="I119" i="16"/>
  <c r="D38" i="10"/>
  <c r="H117" i="14"/>
  <c r="G43" i="15"/>
  <c r="L119" i="12"/>
  <c r="L120" i="12" s="1"/>
  <c r="C117" i="15"/>
  <c r="C48" i="15" s="1"/>
  <c r="C24" i="15" s="1"/>
  <c r="C29" i="15" s="1"/>
  <c r="C35" i="15" s="1"/>
  <c r="F41" i="10"/>
  <c r="F37" i="10" s="1"/>
  <c r="F38" i="10" s="1"/>
  <c r="F43" i="10"/>
  <c r="H41" i="10"/>
  <c r="H37" i="10" s="1"/>
  <c r="H38" i="10" s="1"/>
  <c r="H43" i="10"/>
  <c r="D41" i="10"/>
  <c r="D37" i="10" s="1"/>
  <c r="D43" i="10"/>
  <c r="K39" i="15"/>
  <c r="K41" i="15" s="1"/>
  <c r="K37" i="15" s="1"/>
  <c r="K36" i="15"/>
  <c r="K34" i="15"/>
  <c r="D42" i="13"/>
  <c r="D41" i="13"/>
  <c r="D43" i="13" s="1"/>
  <c r="D44" i="13" s="1"/>
  <c r="K115" i="16"/>
  <c r="G119" i="12"/>
  <c r="H117" i="15"/>
  <c r="I117" i="15"/>
  <c r="I48" i="15" s="1"/>
  <c r="I24" i="15" s="1"/>
  <c r="I29" i="15" s="1"/>
  <c r="I35" i="15" s="1"/>
  <c r="E33" i="7"/>
  <c r="E36" i="7"/>
  <c r="E37" i="7"/>
  <c r="G39" i="15"/>
  <c r="G41" i="15" s="1"/>
  <c r="G37" i="15" s="1"/>
  <c r="G38" i="15" s="1"/>
  <c r="I48" i="12" l="1"/>
  <c r="I24" i="12" s="1"/>
  <c r="I29" i="12" s="1"/>
  <c r="I35" i="12" s="1"/>
  <c r="I120" i="12"/>
  <c r="D36" i="12"/>
  <c r="D39" i="12"/>
  <c r="D41" i="12" s="1"/>
  <c r="D37" i="12" s="1"/>
  <c r="D40" i="12"/>
  <c r="D34" i="12"/>
  <c r="N24" i="16"/>
  <c r="N29" i="16" s="1"/>
  <c r="N35" i="16" s="1"/>
  <c r="N48" i="16"/>
  <c r="N120" i="16"/>
  <c r="D36" i="16"/>
  <c r="D39" i="16"/>
  <c r="D40" i="16"/>
  <c r="D34" i="16"/>
  <c r="I36" i="16"/>
  <c r="I39" i="16"/>
  <c r="I40" i="16"/>
  <c r="I34" i="16"/>
  <c r="P24" i="13"/>
  <c r="P25" i="13"/>
  <c r="G40" i="12"/>
  <c r="G39" i="12"/>
  <c r="G41" i="12" s="1"/>
  <c r="G37" i="12" s="1"/>
  <c r="G36" i="12"/>
  <c r="G34" i="12"/>
  <c r="D53" i="4"/>
  <c r="D51" i="4"/>
  <c r="D71" i="4" s="1"/>
  <c r="C48" i="12"/>
  <c r="C24" i="12" s="1"/>
  <c r="C29" i="12" s="1"/>
  <c r="C35" i="12" s="1"/>
  <c r="C120" i="12"/>
  <c r="D39" i="15"/>
  <c r="D36" i="15"/>
  <c r="D34" i="15"/>
  <c r="D40" i="15" s="1"/>
  <c r="M45" i="15"/>
  <c r="M44" i="15"/>
  <c r="M46" i="15" s="1"/>
  <c r="M47" i="15" s="1"/>
  <c r="E48" i="15"/>
  <c r="E24" i="15" s="1"/>
  <c r="E29" i="15" s="1"/>
  <c r="E35" i="15" s="1"/>
  <c r="E120" i="15"/>
  <c r="E45" i="16"/>
  <c r="E44" i="16"/>
  <c r="E46" i="16" s="1"/>
  <c r="E47" i="16" s="1"/>
  <c r="M117" i="16"/>
  <c r="M48" i="16" s="1"/>
  <c r="M24" i="16" s="1"/>
  <c r="M29" i="16" s="1"/>
  <c r="M35" i="16" s="1"/>
  <c r="F45" i="15"/>
  <c r="F44" i="15"/>
  <c r="F46" i="15" s="1"/>
  <c r="F47" i="15" s="1"/>
  <c r="K43" i="15"/>
  <c r="G36" i="16"/>
  <c r="G39" i="16"/>
  <c r="G40" i="16"/>
  <c r="G34" i="16"/>
  <c r="K38" i="14"/>
  <c r="D37" i="7"/>
  <c r="D36" i="7"/>
  <c r="D33" i="7"/>
  <c r="L44" i="15"/>
  <c r="L46" i="15" s="1"/>
  <c r="L47" i="15" s="1"/>
  <c r="L45" i="15"/>
  <c r="J42" i="13"/>
  <c r="J41" i="13"/>
  <c r="J43" i="13" s="1"/>
  <c r="J44" i="13" s="1"/>
  <c r="M45" i="6"/>
  <c r="M44" i="6"/>
  <c r="M46" i="6" s="1"/>
  <c r="M47" i="6" s="1"/>
  <c r="H38" i="6"/>
  <c r="C39" i="15"/>
  <c r="C36" i="15"/>
  <c r="C34" i="15"/>
  <c r="C40" i="15" s="1"/>
  <c r="C40" i="16"/>
  <c r="C36" i="16"/>
  <c r="C39" i="16"/>
  <c r="C34" i="16"/>
  <c r="L38" i="16"/>
  <c r="K41" i="14"/>
  <c r="K37" i="14" s="1"/>
  <c r="K43" i="14"/>
  <c r="N41" i="14"/>
  <c r="N37" i="14" s="1"/>
  <c r="N43" i="14"/>
  <c r="M41" i="14"/>
  <c r="M37" i="14" s="1"/>
  <c r="M38" i="14" s="1"/>
  <c r="M43" i="14"/>
  <c r="M40" i="12"/>
  <c r="M39" i="12"/>
  <c r="M41" i="12" s="1"/>
  <c r="M37" i="12" s="1"/>
  <c r="M36" i="12"/>
  <c r="M34" i="12"/>
  <c r="L44" i="10"/>
  <c r="L46" i="10" s="1"/>
  <c r="L47" i="10" s="1"/>
  <c r="L45" i="10"/>
  <c r="K38" i="6"/>
  <c r="J45" i="10"/>
  <c r="J44" i="10"/>
  <c r="J46" i="10" s="1"/>
  <c r="J47" i="10" s="1"/>
  <c r="G43" i="12"/>
  <c r="C41" i="10"/>
  <c r="C37" i="10" s="1"/>
  <c r="C43" i="10"/>
  <c r="I41" i="14"/>
  <c r="I37" i="14" s="1"/>
  <c r="I38" i="14" s="1"/>
  <c r="I43" i="14"/>
  <c r="G40" i="10"/>
  <c r="G36" i="10"/>
  <c r="G39" i="10"/>
  <c r="G34" i="10"/>
  <c r="K43" i="12"/>
  <c r="K45" i="10"/>
  <c r="K44" i="10"/>
  <c r="K46" i="10" s="1"/>
  <c r="K47" i="10" s="1"/>
  <c r="C38" i="10"/>
  <c r="E42" i="13"/>
  <c r="E41" i="13"/>
  <c r="E43" i="13" s="1"/>
  <c r="E44" i="13" s="1"/>
  <c r="E43" i="6"/>
  <c r="L36" i="12"/>
  <c r="L40" i="12"/>
  <c r="L39" i="12"/>
  <c r="L41" i="12" s="1"/>
  <c r="L37" i="12" s="1"/>
  <c r="L34" i="12"/>
  <c r="D38" i="6"/>
  <c r="M43" i="12"/>
  <c r="L43" i="16"/>
  <c r="L38" i="6"/>
  <c r="G120" i="16"/>
  <c r="G45" i="15"/>
  <c r="G44" i="15"/>
  <c r="G46" i="15" s="1"/>
  <c r="G47" i="15" s="1"/>
  <c r="K36" i="12"/>
  <c r="K39" i="12"/>
  <c r="K41" i="12" s="1"/>
  <c r="K37" i="12" s="1"/>
  <c r="K40" i="12"/>
  <c r="K34" i="12"/>
  <c r="E48" i="4" s="1"/>
  <c r="F39" i="16"/>
  <c r="F36" i="16"/>
  <c r="F40" i="16"/>
  <c r="F34" i="16"/>
  <c r="C41" i="7"/>
  <c r="C43" i="7" s="1"/>
  <c r="C44" i="7" s="1"/>
  <c r="C42" i="7"/>
  <c r="G36" i="14"/>
  <c r="G40" i="14"/>
  <c r="G39" i="14"/>
  <c r="G34" i="14"/>
  <c r="H43" i="6"/>
  <c r="C40" i="6"/>
  <c r="C36" i="6"/>
  <c r="C39" i="6"/>
  <c r="C34" i="6"/>
  <c r="D43" i="12"/>
  <c r="E45" i="10"/>
  <c r="E44" i="10"/>
  <c r="E46" i="10" s="1"/>
  <c r="E47" i="10" s="1"/>
  <c r="J39" i="16"/>
  <c r="J36" i="16"/>
  <c r="J40" i="16"/>
  <c r="J34" i="16"/>
  <c r="Q24" i="13"/>
  <c r="Q23" i="13"/>
  <c r="H48" i="14"/>
  <c r="H24" i="14" s="1"/>
  <c r="H29" i="14" s="1"/>
  <c r="H35" i="14" s="1"/>
  <c r="H120" i="14"/>
  <c r="F41" i="7"/>
  <c r="F43" i="7" s="1"/>
  <c r="F44" i="7" s="1"/>
  <c r="F42" i="7"/>
  <c r="L44" i="6"/>
  <c r="L46" i="6" s="1"/>
  <c r="L47" i="6" s="1"/>
  <c r="L45" i="6"/>
  <c r="M38" i="15"/>
  <c r="K43" i="6"/>
  <c r="F39" i="12"/>
  <c r="F41" i="12" s="1"/>
  <c r="F37" i="12" s="1"/>
  <c r="F40" i="12"/>
  <c r="F36" i="12"/>
  <c r="F34" i="12"/>
  <c r="G45" i="6"/>
  <c r="G44" i="6"/>
  <c r="G46" i="6" s="1"/>
  <c r="G47" i="6" s="1"/>
  <c r="M38" i="6"/>
  <c r="N42" i="13"/>
  <c r="N41" i="13"/>
  <c r="N43" i="13" s="1"/>
  <c r="N44" i="13" s="1"/>
  <c r="I120" i="16"/>
  <c r="H39" i="16"/>
  <c r="H36" i="16"/>
  <c r="H40" i="16"/>
  <c r="H34" i="16"/>
  <c r="N42" i="11"/>
  <c r="N41" i="11"/>
  <c r="N43" i="11" s="1"/>
  <c r="N44" i="11" s="1"/>
  <c r="L41" i="14"/>
  <c r="L37" i="14" s="1"/>
  <c r="L38" i="14" s="1"/>
  <c r="L43" i="14"/>
  <c r="N117" i="12"/>
  <c r="M45" i="10"/>
  <c r="M44" i="10"/>
  <c r="M46" i="10" s="1"/>
  <c r="M47" i="10" s="1"/>
  <c r="D120" i="12"/>
  <c r="C39" i="14"/>
  <c r="C36" i="14"/>
  <c r="C40" i="14"/>
  <c r="C34" i="14"/>
  <c r="G120" i="12"/>
  <c r="F38" i="14"/>
  <c r="D106" i="4"/>
  <c r="K40" i="15"/>
  <c r="K38" i="15"/>
  <c r="H39" i="12"/>
  <c r="H41" i="12" s="1"/>
  <c r="H37" i="12" s="1"/>
  <c r="H36" i="12"/>
  <c r="H40" i="12"/>
  <c r="H34" i="12"/>
  <c r="G38" i="6"/>
  <c r="C120" i="16"/>
  <c r="J40" i="12"/>
  <c r="J39" i="12"/>
  <c r="J41" i="12" s="1"/>
  <c r="J37" i="12" s="1"/>
  <c r="J36" i="12"/>
  <c r="J34" i="12"/>
  <c r="F41" i="14"/>
  <c r="F37" i="14" s="1"/>
  <c r="F43" i="14"/>
  <c r="N38" i="14"/>
  <c r="I36" i="15"/>
  <c r="I39" i="15"/>
  <c r="I34" i="15"/>
  <c r="I40" i="15" s="1"/>
  <c r="N44" i="6"/>
  <c r="N46" i="6" s="1"/>
  <c r="N47" i="6" s="1"/>
  <c r="N45" i="6"/>
  <c r="D120" i="16"/>
  <c r="F44" i="6"/>
  <c r="F46" i="6" s="1"/>
  <c r="F47" i="6" s="1"/>
  <c r="F45" i="6"/>
  <c r="I38" i="6"/>
  <c r="F44" i="10"/>
  <c r="F46" i="10" s="1"/>
  <c r="F47" i="10" s="1"/>
  <c r="F45" i="10"/>
  <c r="D44" i="10"/>
  <c r="D46" i="10" s="1"/>
  <c r="D47" i="10" s="1"/>
  <c r="D45" i="10"/>
  <c r="E41" i="14"/>
  <c r="E37" i="14" s="1"/>
  <c r="E43" i="14"/>
  <c r="N48" i="15"/>
  <c r="N24" i="15"/>
  <c r="N29" i="15" s="1"/>
  <c r="N35" i="15" s="1"/>
  <c r="J120" i="6"/>
  <c r="E38" i="7"/>
  <c r="E34" i="7" s="1"/>
  <c r="E35" i="7" s="1"/>
  <c r="E40" i="7"/>
  <c r="J36" i="6"/>
  <c r="J40" i="6"/>
  <c r="J39" i="6"/>
  <c r="J34" i="6"/>
  <c r="I44" i="6"/>
  <c r="I46" i="6" s="1"/>
  <c r="I47" i="6" s="1"/>
  <c r="I45" i="6"/>
  <c r="H48" i="15"/>
  <c r="H24" i="15" s="1"/>
  <c r="H29" i="15" s="1"/>
  <c r="H35" i="15" s="1"/>
  <c r="H120" i="15"/>
  <c r="E38" i="14"/>
  <c r="D43" i="6"/>
  <c r="K36" i="16"/>
  <c r="K39" i="16"/>
  <c r="K40" i="16"/>
  <c r="K34" i="16"/>
  <c r="E106" i="4" s="1"/>
  <c r="D120" i="15"/>
  <c r="M120" i="12"/>
  <c r="K120" i="12"/>
  <c r="J48" i="15"/>
  <c r="J24" i="15" s="1"/>
  <c r="J29" i="15" s="1"/>
  <c r="J35" i="15" s="1"/>
  <c r="J120" i="15"/>
  <c r="F38" i="6"/>
  <c r="H45" i="10"/>
  <c r="H44" i="10"/>
  <c r="H46" i="10" s="1"/>
  <c r="H47" i="10" s="1"/>
  <c r="E117" i="12"/>
  <c r="E48" i="12" s="1"/>
  <c r="E24" i="12" s="1"/>
  <c r="E29" i="12" s="1"/>
  <c r="E35" i="12" s="1"/>
  <c r="M120" i="16"/>
  <c r="C120" i="15"/>
  <c r="N39" i="15" l="1"/>
  <c r="N36" i="15"/>
  <c r="L44" i="16"/>
  <c r="L46" i="16" s="1"/>
  <c r="L47" i="16" s="1"/>
  <c r="L45" i="16"/>
  <c r="C53" i="4"/>
  <c r="C51" i="4"/>
  <c r="C71" i="4" s="1"/>
  <c r="I41" i="15"/>
  <c r="I37" i="15" s="1"/>
  <c r="I43" i="15"/>
  <c r="M44" i="12"/>
  <c r="M46" i="12" s="1"/>
  <c r="M47" i="12" s="1"/>
  <c r="M45" i="12"/>
  <c r="C41" i="16"/>
  <c r="C37" i="16" s="1"/>
  <c r="C38" i="16" s="1"/>
  <c r="C43" i="16"/>
  <c r="C108" i="4"/>
  <c r="C107" i="4"/>
  <c r="I41" i="16"/>
  <c r="I37" i="16" s="1"/>
  <c r="I38" i="16" s="1"/>
  <c r="I43" i="16"/>
  <c r="K44" i="12"/>
  <c r="K46" i="12" s="1"/>
  <c r="K47" i="12" s="1"/>
  <c r="K45" i="12"/>
  <c r="H38" i="12"/>
  <c r="J41" i="16"/>
  <c r="J37" i="16" s="1"/>
  <c r="J38" i="16" s="1"/>
  <c r="J43" i="16"/>
  <c r="G41" i="10"/>
  <c r="G37" i="10" s="1"/>
  <c r="G38" i="10" s="1"/>
  <c r="G43" i="10"/>
  <c r="M38" i="12"/>
  <c r="D41" i="15"/>
  <c r="D37" i="15" s="1"/>
  <c r="D38" i="15" s="1"/>
  <c r="D43" i="15"/>
  <c r="E44" i="14"/>
  <c r="E46" i="14" s="1"/>
  <c r="E47" i="14" s="1"/>
  <c r="E45" i="14"/>
  <c r="D41" i="16"/>
  <c r="D37" i="16" s="1"/>
  <c r="D38" i="16" s="1"/>
  <c r="D43" i="16"/>
  <c r="H39" i="15"/>
  <c r="H36" i="15"/>
  <c r="H34" i="15"/>
  <c r="H40" i="15" s="1"/>
  <c r="C41" i="15"/>
  <c r="C37" i="15" s="1"/>
  <c r="C38" i="15" s="1"/>
  <c r="C43" i="15"/>
  <c r="G41" i="16"/>
  <c r="G37" i="16" s="1"/>
  <c r="G43" i="16"/>
  <c r="C40" i="12"/>
  <c r="C39" i="12"/>
  <c r="C36" i="12"/>
  <c r="C34" i="12"/>
  <c r="N24" i="12"/>
  <c r="N29" i="12" s="1"/>
  <c r="N35" i="12" s="1"/>
  <c r="N48" i="12"/>
  <c r="J41" i="6"/>
  <c r="J37" i="6" s="1"/>
  <c r="J43" i="6"/>
  <c r="F41" i="16"/>
  <c r="F37" i="16" s="1"/>
  <c r="F38" i="16" s="1"/>
  <c r="F43" i="16"/>
  <c r="L38" i="12"/>
  <c r="I45" i="14"/>
  <c r="I44" i="14"/>
  <c r="I46" i="14" s="1"/>
  <c r="I47" i="14" s="1"/>
  <c r="M45" i="14"/>
  <c r="M44" i="14"/>
  <c r="M46" i="14" s="1"/>
  <c r="M47" i="14" s="1"/>
  <c r="G38" i="16"/>
  <c r="I38" i="15"/>
  <c r="D108" i="4"/>
  <c r="E45" i="6"/>
  <c r="E44" i="6"/>
  <c r="E46" i="6" s="1"/>
  <c r="E47" i="6" s="1"/>
  <c r="K45" i="15"/>
  <c r="K44" i="15"/>
  <c r="K46" i="15" s="1"/>
  <c r="K47" i="15" s="1"/>
  <c r="D63" i="4"/>
  <c r="D64" i="4" s="1"/>
  <c r="D45" i="6"/>
  <c r="D44" i="6"/>
  <c r="D46" i="6" s="1"/>
  <c r="D47" i="6" s="1"/>
  <c r="F43" i="12"/>
  <c r="C45" i="10"/>
  <c r="C44" i="10"/>
  <c r="C46" i="10" s="1"/>
  <c r="C47" i="10" s="1"/>
  <c r="N36" i="16"/>
  <c r="N39" i="16"/>
  <c r="N40" i="16"/>
  <c r="J39" i="15"/>
  <c r="J36" i="15"/>
  <c r="J34" i="15"/>
  <c r="J40" i="15" s="1"/>
  <c r="C41" i="6"/>
  <c r="C37" i="6" s="1"/>
  <c r="C43" i="6"/>
  <c r="L43" i="12"/>
  <c r="G38" i="12"/>
  <c r="L44" i="14"/>
  <c r="L46" i="14" s="1"/>
  <c r="L47" i="14" s="1"/>
  <c r="L45" i="14"/>
  <c r="J38" i="6"/>
  <c r="C38" i="6"/>
  <c r="K38" i="12"/>
  <c r="N45" i="14"/>
  <c r="N44" i="14"/>
  <c r="N46" i="14" s="1"/>
  <c r="N47" i="14" s="1"/>
  <c r="M39" i="16"/>
  <c r="M36" i="16"/>
  <c r="M40" i="16"/>
  <c r="M34" i="16"/>
  <c r="F44" i="14"/>
  <c r="F46" i="14" s="1"/>
  <c r="F47" i="14" s="1"/>
  <c r="F45" i="14"/>
  <c r="D44" i="12"/>
  <c r="D46" i="12" s="1"/>
  <c r="D47" i="12" s="1"/>
  <c r="D45" i="12"/>
  <c r="N120" i="12"/>
  <c r="E42" i="7"/>
  <c r="E41" i="7"/>
  <c r="E43" i="7" s="1"/>
  <c r="E44" i="7" s="1"/>
  <c r="E120" i="12"/>
  <c r="H45" i="6"/>
  <c r="H44" i="6"/>
  <c r="H46" i="6" s="1"/>
  <c r="H47" i="6" s="1"/>
  <c r="G45" i="12"/>
  <c r="G44" i="12"/>
  <c r="G46" i="12" s="1"/>
  <c r="G47" i="12" s="1"/>
  <c r="K45" i="14"/>
  <c r="K44" i="14"/>
  <c r="K46" i="14" s="1"/>
  <c r="K47" i="14" s="1"/>
  <c r="D38" i="12"/>
  <c r="H43" i="12"/>
  <c r="K45" i="6"/>
  <c r="K44" i="6"/>
  <c r="K46" i="6" s="1"/>
  <c r="K47" i="6" s="1"/>
  <c r="C41" i="14"/>
  <c r="C37" i="14" s="1"/>
  <c r="C38" i="14" s="1"/>
  <c r="C43" i="14"/>
  <c r="K41" i="16"/>
  <c r="K37" i="16" s="1"/>
  <c r="K38" i="16" s="1"/>
  <c r="K43" i="16"/>
  <c r="H36" i="14"/>
  <c r="H40" i="14"/>
  <c r="H39" i="14"/>
  <c r="H34" i="14"/>
  <c r="J43" i="12"/>
  <c r="D35" i="7"/>
  <c r="Q25" i="13"/>
  <c r="E39" i="12"/>
  <c r="E36" i="12"/>
  <c r="E40" i="12"/>
  <c r="E34" i="12"/>
  <c r="F38" i="12"/>
  <c r="H41" i="16"/>
  <c r="H37" i="16" s="1"/>
  <c r="H38" i="16" s="1"/>
  <c r="H43" i="16"/>
  <c r="J38" i="12"/>
  <c r="G41" i="14"/>
  <c r="G37" i="14" s="1"/>
  <c r="G38" i="14" s="1"/>
  <c r="G43" i="14"/>
  <c r="D38" i="7"/>
  <c r="D34" i="7" s="1"/>
  <c r="D40" i="7"/>
  <c r="E39" i="15"/>
  <c r="E36" i="15"/>
  <c r="E34" i="15"/>
  <c r="E40" i="15" s="1"/>
  <c r="I36" i="12"/>
  <c r="I40" i="12"/>
  <c r="I39" i="12"/>
  <c r="I34" i="12"/>
  <c r="E108" i="4" l="1"/>
  <c r="E107" i="4"/>
  <c r="C44" i="16"/>
  <c r="C46" i="16" s="1"/>
  <c r="C47" i="16" s="1"/>
  <c r="C45" i="16"/>
  <c r="C109" i="4"/>
  <c r="C110" i="4" s="1"/>
  <c r="C113" i="4" s="1"/>
  <c r="E53" i="4"/>
  <c r="E51" i="4"/>
  <c r="E71" i="4" s="1"/>
  <c r="J45" i="16"/>
  <c r="J44" i="16"/>
  <c r="J46" i="16" s="1"/>
  <c r="J47" i="16" s="1"/>
  <c r="E41" i="15"/>
  <c r="E37" i="15" s="1"/>
  <c r="E43" i="15"/>
  <c r="C44" i="15"/>
  <c r="C46" i="15" s="1"/>
  <c r="C47" i="15" s="1"/>
  <c r="C45" i="15"/>
  <c r="F45" i="16"/>
  <c r="F44" i="16"/>
  <c r="F46" i="16" s="1"/>
  <c r="F47" i="16" s="1"/>
  <c r="I45" i="15"/>
  <c r="I44" i="15"/>
  <c r="I46" i="15" s="1"/>
  <c r="I47" i="15" s="1"/>
  <c r="H41" i="14"/>
  <c r="H37" i="14" s="1"/>
  <c r="H43" i="14"/>
  <c r="K44" i="16"/>
  <c r="K46" i="16" s="1"/>
  <c r="K47" i="16" s="1"/>
  <c r="K45" i="16"/>
  <c r="C41" i="12"/>
  <c r="C37" i="12" s="1"/>
  <c r="C38" i="12" s="1"/>
  <c r="C43" i="12"/>
  <c r="J45" i="6"/>
  <c r="J44" i="6"/>
  <c r="J46" i="6" s="1"/>
  <c r="J47" i="6" s="1"/>
  <c r="H41" i="15"/>
  <c r="H37" i="15" s="1"/>
  <c r="H38" i="15" s="1"/>
  <c r="H43" i="15"/>
  <c r="N41" i="16"/>
  <c r="N37" i="16" s="1"/>
  <c r="N38" i="16" s="1"/>
  <c r="N43" i="16"/>
  <c r="J44" i="12"/>
  <c r="J46" i="12" s="1"/>
  <c r="J47" i="12" s="1"/>
  <c r="J45" i="12"/>
  <c r="G45" i="14"/>
  <c r="G44" i="14"/>
  <c r="G46" i="14" s="1"/>
  <c r="G47" i="14" s="1"/>
  <c r="F44" i="12"/>
  <c r="F46" i="12" s="1"/>
  <c r="F47" i="12" s="1"/>
  <c r="F45" i="12"/>
  <c r="H44" i="16"/>
  <c r="H46" i="16" s="1"/>
  <c r="H47" i="16" s="1"/>
  <c r="H45" i="16"/>
  <c r="D45" i="16"/>
  <c r="D44" i="16"/>
  <c r="D46" i="16" s="1"/>
  <c r="D47" i="16" s="1"/>
  <c r="C63" i="4"/>
  <c r="C64" i="4" s="1"/>
  <c r="G45" i="10"/>
  <c r="G44" i="10"/>
  <c r="G46" i="10" s="1"/>
  <c r="G47" i="10" s="1"/>
  <c r="E38" i="15"/>
  <c r="D45" i="15"/>
  <c r="D44" i="15"/>
  <c r="D46" i="15" s="1"/>
  <c r="D47" i="15" s="1"/>
  <c r="D41" i="7"/>
  <c r="D43" i="7" s="1"/>
  <c r="D44" i="7" s="1"/>
  <c r="D42" i="7"/>
  <c r="G44" i="16"/>
  <c r="G46" i="16" s="1"/>
  <c r="G47" i="16" s="1"/>
  <c r="G45" i="16"/>
  <c r="C45" i="14"/>
  <c r="C44" i="14"/>
  <c r="C46" i="14" s="1"/>
  <c r="C47" i="14" s="1"/>
  <c r="C45" i="6"/>
  <c r="C44" i="6"/>
  <c r="C46" i="6" s="1"/>
  <c r="C47" i="6" s="1"/>
  <c r="I41" i="12"/>
  <c r="I37" i="12" s="1"/>
  <c r="I43" i="12"/>
  <c r="N39" i="12"/>
  <c r="N36" i="12"/>
  <c r="N40" i="12"/>
  <c r="L45" i="12"/>
  <c r="L44" i="12"/>
  <c r="L46" i="12" s="1"/>
  <c r="L47" i="12" s="1"/>
  <c r="J38" i="15"/>
  <c r="D107" i="4" s="1"/>
  <c r="M41" i="16"/>
  <c r="M37" i="16" s="1"/>
  <c r="M43" i="16"/>
  <c r="H38" i="14"/>
  <c r="D111" i="4"/>
  <c r="D55" i="4"/>
  <c r="D56" i="4" s="1"/>
  <c r="D66" i="4"/>
  <c r="H44" i="12"/>
  <c r="H46" i="12" s="1"/>
  <c r="H47" i="12" s="1"/>
  <c r="H45" i="12"/>
  <c r="I38" i="12"/>
  <c r="E41" i="12"/>
  <c r="E37" i="12" s="1"/>
  <c r="E38" i="12" s="1"/>
  <c r="E43" i="12"/>
  <c r="M38" i="16"/>
  <c r="J41" i="15"/>
  <c r="J37" i="15" s="1"/>
  <c r="J43" i="15"/>
  <c r="D109" i="4"/>
  <c r="D110" i="4" s="1"/>
  <c r="D113" i="4"/>
  <c r="I45" i="16"/>
  <c r="I44" i="16"/>
  <c r="I46" i="16" s="1"/>
  <c r="I47" i="16" s="1"/>
  <c r="N41" i="15"/>
  <c r="N37" i="15" s="1"/>
  <c r="N38" i="15" s="1"/>
  <c r="N43" i="15"/>
  <c r="N44" i="16" l="1"/>
  <c r="N46" i="16" s="1"/>
  <c r="N47" i="16" s="1"/>
  <c r="N45" i="16"/>
  <c r="N41" i="12"/>
  <c r="N37" i="12" s="1"/>
  <c r="N43" i="12"/>
  <c r="I44" i="12"/>
  <c r="I46" i="12" s="1"/>
  <c r="I47" i="12" s="1"/>
  <c r="I45" i="12"/>
  <c r="E63" i="4"/>
  <c r="E64" i="4" s="1"/>
  <c r="C44" i="12"/>
  <c r="C46" i="12" s="1"/>
  <c r="C47" i="12" s="1"/>
  <c r="C45" i="12"/>
  <c r="M45" i="16"/>
  <c r="M44" i="16"/>
  <c r="M46" i="16" s="1"/>
  <c r="M47" i="16" s="1"/>
  <c r="N38" i="12"/>
  <c r="D49" i="8"/>
  <c r="D50" i="8" s="1"/>
  <c r="D31" i="8"/>
  <c r="D32" i="8" s="1"/>
  <c r="D43" i="8"/>
  <c r="D44" i="8" s="1"/>
  <c r="D55" i="8"/>
  <c r="D56" i="8" s="1"/>
  <c r="D37" i="8"/>
  <c r="D38" i="8" s="1"/>
  <c r="D12" i="8"/>
  <c r="D13" i="8" s="1"/>
  <c r="D114" i="4"/>
  <c r="D18" i="8" s="1"/>
  <c r="D19" i="8" s="1"/>
  <c r="D20" i="8" s="1"/>
  <c r="D23" i="8"/>
  <c r="D24" i="8" s="1"/>
  <c r="H45" i="14"/>
  <c r="H44" i="14"/>
  <c r="H46" i="14" s="1"/>
  <c r="H47" i="14" s="1"/>
  <c r="C111" i="4"/>
  <c r="C66" i="4"/>
  <c r="C55" i="4"/>
  <c r="C56" i="4" s="1"/>
  <c r="E45" i="12"/>
  <c r="E44" i="12"/>
  <c r="E46" i="12" s="1"/>
  <c r="E47" i="12" s="1"/>
  <c r="H44" i="15"/>
  <c r="H46" i="15" s="1"/>
  <c r="H47" i="15" s="1"/>
  <c r="H45" i="15"/>
  <c r="N44" i="15"/>
  <c r="N46" i="15" s="1"/>
  <c r="N47" i="15" s="1"/>
  <c r="N45" i="15"/>
  <c r="J44" i="15"/>
  <c r="J46" i="15" s="1"/>
  <c r="J47" i="15" s="1"/>
  <c r="J45" i="15"/>
  <c r="E45" i="15"/>
  <c r="E44" i="15"/>
  <c r="E46" i="15" s="1"/>
  <c r="E47" i="15" s="1"/>
  <c r="D62" i="4"/>
  <c r="Q22" i="11" s="1"/>
  <c r="E109" i="4"/>
  <c r="E110" i="4" s="1"/>
  <c r="E113" i="4" s="1"/>
  <c r="D33" i="8" l="1"/>
  <c r="D34" i="8"/>
  <c r="D45" i="8"/>
  <c r="D46" i="8"/>
  <c r="C49" i="8"/>
  <c r="C50" i="8" s="1"/>
  <c r="C37" i="8"/>
  <c r="C38" i="8" s="1"/>
  <c r="C43" i="8"/>
  <c r="C44" i="8" s="1"/>
  <c r="C31" i="8"/>
  <c r="C32" i="8" s="1"/>
  <c r="C55" i="8"/>
  <c r="C56" i="8" s="1"/>
  <c r="C12" i="8"/>
  <c r="C13" i="8" s="1"/>
  <c r="C23" i="8"/>
  <c r="C24" i="8" s="1"/>
  <c r="C114" i="4"/>
  <c r="C18" i="8" s="1"/>
  <c r="C19" i="8" s="1"/>
  <c r="C20" i="8" s="1"/>
  <c r="N45" i="12"/>
  <c r="N44" i="12"/>
  <c r="N46" i="12" s="1"/>
  <c r="N47" i="12" s="1"/>
  <c r="D51" i="8"/>
  <c r="D52" i="8"/>
  <c r="C62" i="4"/>
  <c r="Q26" i="7" s="1"/>
  <c r="E111" i="4"/>
  <c r="E55" i="4"/>
  <c r="E56" i="4" s="1"/>
  <c r="E66" i="4"/>
  <c r="R25" i="11"/>
  <c r="R23" i="11"/>
  <c r="R22" i="11" s="1"/>
  <c r="R24" i="11"/>
  <c r="D25" i="8"/>
  <c r="D28" i="8"/>
  <c r="D27" i="8"/>
  <c r="D26" i="8"/>
  <c r="D40" i="8"/>
  <c r="D39" i="8"/>
  <c r="D14" i="8"/>
  <c r="D15" i="8"/>
  <c r="D57" i="8"/>
  <c r="D58" i="8"/>
  <c r="C25" i="8" l="1"/>
  <c r="C28" i="8"/>
  <c r="C27" i="8"/>
  <c r="C26" i="8"/>
  <c r="L21" i="11"/>
  <c r="D37" i="4"/>
  <c r="C33" i="8"/>
  <c r="C34" i="8"/>
  <c r="C14" i="8"/>
  <c r="C15" i="8"/>
  <c r="C57" i="8"/>
  <c r="C58" i="8"/>
  <c r="C45" i="8"/>
  <c r="C46" i="8"/>
  <c r="C51" i="8"/>
  <c r="C52" i="8"/>
  <c r="C39" i="8"/>
  <c r="C40" i="8"/>
  <c r="E62" i="4"/>
  <c r="Q22" i="13" s="1"/>
  <c r="E43" i="8"/>
  <c r="E44" i="8" s="1"/>
  <c r="E37" i="8"/>
  <c r="E38" i="8" s="1"/>
  <c r="E31" i="8"/>
  <c r="E32" i="8" s="1"/>
  <c r="E49" i="8"/>
  <c r="E50" i="8" s="1"/>
  <c r="E55" i="8"/>
  <c r="E56" i="8" s="1"/>
  <c r="E12" i="8"/>
  <c r="E13" i="8" s="1"/>
  <c r="E23" i="8"/>
  <c r="E24" i="8" s="1"/>
  <c r="E114" i="4"/>
  <c r="E18" i="8" s="1"/>
  <c r="E19" i="8" s="1"/>
  <c r="E20" i="8" s="1"/>
  <c r="R28" i="7"/>
  <c r="R29" i="7"/>
  <c r="R27" i="7"/>
  <c r="R26" i="7" s="1"/>
  <c r="E57" i="8" l="1"/>
  <c r="E58" i="8"/>
  <c r="E15" i="8"/>
  <c r="E14" i="8"/>
  <c r="D38" i="4"/>
  <c r="D73" i="4"/>
  <c r="C37" i="4"/>
  <c r="L21" i="7"/>
  <c r="E51" i="8"/>
  <c r="E52" i="8"/>
  <c r="E39" i="8"/>
  <c r="E40" i="8"/>
  <c r="K21" i="11"/>
  <c r="M21" i="11"/>
  <c r="L23" i="11"/>
  <c r="L39" i="11"/>
  <c r="L22" i="11"/>
  <c r="E26" i="8"/>
  <c r="E28" i="8"/>
  <c r="E27" i="8"/>
  <c r="E25" i="8"/>
  <c r="E33" i="8"/>
  <c r="E34" i="8"/>
  <c r="E45" i="8"/>
  <c r="E46" i="8"/>
  <c r="R23" i="13"/>
  <c r="R25" i="13"/>
  <c r="R24" i="13"/>
  <c r="M22" i="11" l="1"/>
  <c r="M23" i="11"/>
  <c r="M39" i="11"/>
  <c r="L22" i="7"/>
  <c r="K21" i="7"/>
  <c r="L23" i="7"/>
  <c r="L39" i="7"/>
  <c r="M21" i="7"/>
  <c r="K23" i="11"/>
  <c r="K22" i="11"/>
  <c r="K39" i="11"/>
  <c r="R22" i="13"/>
  <c r="C38" i="4"/>
  <c r="C73" i="4"/>
  <c r="L76" i="11"/>
  <c r="L26" i="11"/>
  <c r="L53" i="11"/>
  <c r="L54" i="11" s="1"/>
  <c r="L51" i="11"/>
  <c r="L52" i="11" s="1"/>
  <c r="L56" i="11"/>
  <c r="L77" i="11"/>
  <c r="L74" i="11"/>
  <c r="L78" i="11"/>
  <c r="L75" i="11"/>
  <c r="L72" i="11"/>
  <c r="L73" i="11"/>
  <c r="L115" i="11"/>
  <c r="L59" i="11"/>
  <c r="L57" i="11"/>
  <c r="L60" i="11" s="1"/>
  <c r="K72" i="11" l="1"/>
  <c r="K75" i="11"/>
  <c r="K53" i="11"/>
  <c r="K54" i="11" s="1"/>
  <c r="K74" i="11"/>
  <c r="K56" i="11"/>
  <c r="K51" i="11"/>
  <c r="K52" i="11" s="1"/>
  <c r="K26" i="11"/>
  <c r="K76" i="11"/>
  <c r="K78" i="11"/>
  <c r="K115" i="11"/>
  <c r="K73" i="11"/>
  <c r="K77" i="11"/>
  <c r="K59" i="11"/>
  <c r="K57" i="11"/>
  <c r="K60" i="11" s="1"/>
  <c r="L90" i="11"/>
  <c r="L86" i="11"/>
  <c r="L116" i="11"/>
  <c r="L21" i="13"/>
  <c r="E37" i="4"/>
  <c r="M22" i="7"/>
  <c r="M23" i="7"/>
  <c r="M39" i="7"/>
  <c r="L88" i="11"/>
  <c r="L110" i="11" s="1"/>
  <c r="L91" i="11"/>
  <c r="L96" i="11"/>
  <c r="L112" i="11" s="1"/>
  <c r="L102" i="11"/>
  <c r="L99" i="11"/>
  <c r="L83" i="11"/>
  <c r="L89" i="11"/>
  <c r="L82" i="11"/>
  <c r="L87" i="11"/>
  <c r="L97" i="11"/>
  <c r="L80" i="11"/>
  <c r="L92" i="11"/>
  <c r="L101" i="11"/>
  <c r="L84" i="11"/>
  <c r="L100" i="11"/>
  <c r="L113" i="11" s="1"/>
  <c r="L81" i="11"/>
  <c r="L85" i="11"/>
  <c r="L93" i="11"/>
  <c r="L95" i="11"/>
  <c r="L94" i="11"/>
  <c r="L79" i="11"/>
  <c r="L98" i="11"/>
  <c r="K39" i="7"/>
  <c r="K23" i="7"/>
  <c r="K22" i="7"/>
  <c r="L26" i="7"/>
  <c r="L53" i="7"/>
  <c r="L54" i="7" s="1"/>
  <c r="L51" i="7"/>
  <c r="L52" i="7" s="1"/>
  <c r="L56" i="7"/>
  <c r="L72" i="7"/>
  <c r="L115" i="7"/>
  <c r="L73" i="7"/>
  <c r="L59" i="7"/>
  <c r="L57" i="7"/>
  <c r="L60" i="7" s="1"/>
  <c r="M76" i="11"/>
  <c r="M51" i="11"/>
  <c r="M52" i="11" s="1"/>
  <c r="M75" i="11"/>
  <c r="M72" i="11"/>
  <c r="M26" i="11"/>
  <c r="M115" i="11"/>
  <c r="M78" i="11"/>
  <c r="M74" i="11"/>
  <c r="M77" i="11"/>
  <c r="M56" i="11"/>
  <c r="M53" i="11"/>
  <c r="M54" i="11" s="1"/>
  <c r="M73" i="11"/>
  <c r="M59" i="11"/>
  <c r="M57" i="11"/>
  <c r="M60" i="11" s="1"/>
  <c r="L77" i="7" l="1"/>
  <c r="L75" i="7"/>
  <c r="L74" i="7"/>
  <c r="L78" i="7"/>
  <c r="L76" i="7"/>
  <c r="M73" i="7"/>
  <c r="M51" i="7"/>
  <c r="M52" i="7" s="1"/>
  <c r="M72" i="7"/>
  <c r="M56" i="7"/>
  <c r="M26" i="7"/>
  <c r="M115" i="7"/>
  <c r="M53" i="7"/>
  <c r="M54" i="7" s="1"/>
  <c r="M59" i="7"/>
  <c r="M57" i="7"/>
  <c r="K116" i="11"/>
  <c r="L109" i="11"/>
  <c r="L108" i="11"/>
  <c r="L114" i="11" s="1"/>
  <c r="L45" i="11" s="1"/>
  <c r="L24" i="11" s="1"/>
  <c r="L29" i="11" s="1"/>
  <c r="L32" i="11" s="1"/>
  <c r="K102" i="11"/>
  <c r="K92" i="11"/>
  <c r="K79" i="11"/>
  <c r="K83" i="11"/>
  <c r="K85" i="11"/>
  <c r="K101" i="11"/>
  <c r="K93" i="11"/>
  <c r="K84" i="11"/>
  <c r="K109" i="11" s="1"/>
  <c r="K94" i="11"/>
  <c r="K100" i="11"/>
  <c r="K113" i="11" s="1"/>
  <c r="K95" i="11"/>
  <c r="K97" i="11"/>
  <c r="K96" i="11"/>
  <c r="K91" i="11"/>
  <c r="K88" i="11"/>
  <c r="K80" i="11"/>
  <c r="K99" i="11"/>
  <c r="K98" i="11"/>
  <c r="K87" i="11"/>
  <c r="K89" i="11"/>
  <c r="K82" i="11"/>
  <c r="K81" i="11"/>
  <c r="K86" i="11"/>
  <c r="K90" i="11"/>
  <c r="M100" i="11"/>
  <c r="M113" i="11" s="1"/>
  <c r="M99" i="11"/>
  <c r="M94" i="11"/>
  <c r="M80" i="11"/>
  <c r="M98" i="11"/>
  <c r="M85" i="11"/>
  <c r="M92" i="11"/>
  <c r="M89" i="11"/>
  <c r="M87" i="11"/>
  <c r="M84" i="11"/>
  <c r="M109" i="11" s="1"/>
  <c r="M91" i="11"/>
  <c r="M101" i="11"/>
  <c r="M102" i="11"/>
  <c r="M82" i="11"/>
  <c r="M83" i="11"/>
  <c r="M88" i="11"/>
  <c r="M110" i="11" s="1"/>
  <c r="M93" i="11"/>
  <c r="M97" i="11"/>
  <c r="M95" i="11"/>
  <c r="M79" i="11"/>
  <c r="M81" i="11"/>
  <c r="M96" i="11"/>
  <c r="M86" i="11"/>
  <c r="M90" i="11"/>
  <c r="E38" i="4"/>
  <c r="E73" i="4"/>
  <c r="L23" i="13"/>
  <c r="L39" i="13"/>
  <c r="K21" i="13"/>
  <c r="L22" i="13"/>
  <c r="M21" i="13"/>
  <c r="L111" i="11"/>
  <c r="L116" i="7"/>
  <c r="K51" i="7"/>
  <c r="K52" i="7" s="1"/>
  <c r="K56" i="7"/>
  <c r="K115" i="7"/>
  <c r="K72" i="7"/>
  <c r="K53" i="7"/>
  <c r="K54" i="7" s="1"/>
  <c r="K73" i="7"/>
  <c r="K26" i="7"/>
  <c r="K59" i="7"/>
  <c r="K57" i="7"/>
  <c r="K60" i="7" s="1"/>
  <c r="M116" i="11"/>
  <c r="M78" i="7" l="1"/>
  <c r="M76" i="7"/>
  <c r="M74" i="7"/>
  <c r="M75" i="7"/>
  <c r="M77" i="7"/>
  <c r="K22" i="13"/>
  <c r="K23" i="13"/>
  <c r="K39" i="13"/>
  <c r="K111" i="11"/>
  <c r="M39" i="13"/>
  <c r="M22" i="13"/>
  <c r="M23" i="13"/>
  <c r="M117" i="11"/>
  <c r="L73" i="13"/>
  <c r="L72" i="13"/>
  <c r="L74" i="13"/>
  <c r="L75" i="13"/>
  <c r="L76" i="13"/>
  <c r="L51" i="13"/>
  <c r="L52" i="13" s="1"/>
  <c r="L115" i="13"/>
  <c r="L26" i="13"/>
  <c r="L56" i="13"/>
  <c r="L77" i="13"/>
  <c r="L78" i="13"/>
  <c r="L53" i="13"/>
  <c r="L54" i="13" s="1"/>
  <c r="L59" i="13"/>
  <c r="L57" i="13"/>
  <c r="L60" i="13" s="1"/>
  <c r="K108" i="11"/>
  <c r="K114" i="11" s="1"/>
  <c r="K45" i="11" s="1"/>
  <c r="K24" i="11" s="1"/>
  <c r="K29" i="11" s="1"/>
  <c r="K32" i="11" s="1"/>
  <c r="L117" i="11"/>
  <c r="L36" i="11"/>
  <c r="L37" i="11"/>
  <c r="L33" i="11"/>
  <c r="L86" i="7"/>
  <c r="L90" i="7"/>
  <c r="M112" i="11"/>
  <c r="K74" i="7"/>
  <c r="K78" i="7"/>
  <c r="K75" i="7"/>
  <c r="K76" i="7"/>
  <c r="K77" i="7"/>
  <c r="K110" i="11"/>
  <c r="K112" i="11"/>
  <c r="M111" i="11"/>
  <c r="K116" i="7"/>
  <c r="M108" i="11"/>
  <c r="M114" i="11" s="1"/>
  <c r="M45" i="11" s="1"/>
  <c r="M24" i="11" s="1"/>
  <c r="M29" i="11" s="1"/>
  <c r="M32" i="11" s="1"/>
  <c r="M60" i="7"/>
  <c r="M116" i="7" s="1"/>
  <c r="L95" i="7"/>
  <c r="L97" i="7"/>
  <c r="L85" i="7"/>
  <c r="L80" i="7"/>
  <c r="L108" i="7" s="1"/>
  <c r="L79" i="7"/>
  <c r="L88" i="7"/>
  <c r="L110" i="7" s="1"/>
  <c r="L101" i="7"/>
  <c r="L84" i="7"/>
  <c r="L109" i="7" s="1"/>
  <c r="L102" i="7"/>
  <c r="L96" i="7"/>
  <c r="L112" i="7" s="1"/>
  <c r="L94" i="7"/>
  <c r="L81" i="7"/>
  <c r="L99" i="7"/>
  <c r="L98" i="7"/>
  <c r="L100" i="7"/>
  <c r="L91" i="7"/>
  <c r="L89" i="7"/>
  <c r="L82" i="7"/>
  <c r="L87" i="7"/>
  <c r="L93" i="7"/>
  <c r="L83" i="7"/>
  <c r="L92" i="7"/>
  <c r="L86" i="13" l="1"/>
  <c r="L90" i="13"/>
  <c r="K91" i="7"/>
  <c r="K82" i="7"/>
  <c r="K80" i="7"/>
  <c r="K95" i="7"/>
  <c r="K93" i="7"/>
  <c r="K84" i="7"/>
  <c r="K88" i="7"/>
  <c r="K94" i="7"/>
  <c r="K92" i="7"/>
  <c r="K111" i="7" s="1"/>
  <c r="K102" i="7"/>
  <c r="K87" i="7"/>
  <c r="K99" i="7"/>
  <c r="K83" i="7"/>
  <c r="K98" i="7"/>
  <c r="K85" i="7"/>
  <c r="K101" i="7"/>
  <c r="K89" i="7"/>
  <c r="K97" i="7"/>
  <c r="K100" i="7"/>
  <c r="K79" i="7"/>
  <c r="K81" i="7"/>
  <c r="K96" i="7"/>
  <c r="K112" i="7" s="1"/>
  <c r="M72" i="13"/>
  <c r="M73" i="13"/>
  <c r="M115" i="13"/>
  <c r="M51" i="13"/>
  <c r="M52" i="13" s="1"/>
  <c r="M116" i="13" s="1"/>
  <c r="M76" i="13"/>
  <c r="M74" i="13"/>
  <c r="M77" i="13"/>
  <c r="M53" i="13"/>
  <c r="M54" i="13" s="1"/>
  <c r="M75" i="13"/>
  <c r="M56" i="13"/>
  <c r="M26" i="13"/>
  <c r="M78" i="13"/>
  <c r="M59" i="13"/>
  <c r="M57" i="13"/>
  <c r="M60" i="13" s="1"/>
  <c r="K72" i="13"/>
  <c r="K74" i="13"/>
  <c r="K76" i="13"/>
  <c r="K75" i="13"/>
  <c r="K78" i="13"/>
  <c r="K56" i="13"/>
  <c r="K77" i="13"/>
  <c r="K51" i="13"/>
  <c r="K52" i="13" s="1"/>
  <c r="K115" i="13"/>
  <c r="K73" i="13"/>
  <c r="K26" i="13"/>
  <c r="K53" i="13"/>
  <c r="K54" i="13" s="1"/>
  <c r="K59" i="13"/>
  <c r="K57" i="13"/>
  <c r="K60" i="13" s="1"/>
  <c r="M80" i="7"/>
  <c r="M84" i="7"/>
  <c r="M109" i="7" s="1"/>
  <c r="M102" i="7"/>
  <c r="M92" i="7"/>
  <c r="M111" i="7" s="1"/>
  <c r="M99" i="7"/>
  <c r="M100" i="7"/>
  <c r="M113" i="7" s="1"/>
  <c r="M95" i="7"/>
  <c r="M94" i="7"/>
  <c r="M96" i="7"/>
  <c r="M85" i="7"/>
  <c r="M101" i="7"/>
  <c r="M88" i="7"/>
  <c r="M82" i="7"/>
  <c r="M91" i="7"/>
  <c r="M98" i="7"/>
  <c r="M97" i="7"/>
  <c r="M83" i="7"/>
  <c r="M87" i="7"/>
  <c r="M89" i="7"/>
  <c r="M93" i="7"/>
  <c r="M81" i="7"/>
  <c r="M79" i="7"/>
  <c r="L114" i="7"/>
  <c r="L80" i="13"/>
  <c r="L95" i="13"/>
  <c r="L97" i="13"/>
  <c r="L94" i="13"/>
  <c r="L88" i="13"/>
  <c r="L96" i="13"/>
  <c r="L112" i="13" s="1"/>
  <c r="L82" i="13"/>
  <c r="L101" i="13"/>
  <c r="L102" i="13"/>
  <c r="L84" i="13"/>
  <c r="L109" i="13" s="1"/>
  <c r="L81" i="13"/>
  <c r="L99" i="13"/>
  <c r="L91" i="13"/>
  <c r="L89" i="13"/>
  <c r="L79" i="13"/>
  <c r="L93" i="13"/>
  <c r="L83" i="13"/>
  <c r="L87" i="13"/>
  <c r="L98" i="13"/>
  <c r="L85" i="13"/>
  <c r="L100" i="13"/>
  <c r="L92" i="13"/>
  <c r="L111" i="13" s="1"/>
  <c r="M36" i="11"/>
  <c r="M33" i="11"/>
  <c r="M37" i="11"/>
  <c r="L113" i="7"/>
  <c r="K117" i="11"/>
  <c r="K86" i="7"/>
  <c r="K90" i="7"/>
  <c r="L116" i="13"/>
  <c r="M86" i="7"/>
  <c r="M90" i="7"/>
  <c r="K36" i="11"/>
  <c r="K33" i="11"/>
  <c r="K37" i="11"/>
  <c r="L111" i="7"/>
  <c r="L38" i="11"/>
  <c r="L34" i="11" s="1"/>
  <c r="L35" i="11" s="1"/>
  <c r="L40" i="11"/>
  <c r="K109" i="7" l="1"/>
  <c r="K110" i="7"/>
  <c r="M90" i="13"/>
  <c r="M86" i="13"/>
  <c r="K113" i="7"/>
  <c r="K108" i="7"/>
  <c r="K114" i="7" s="1"/>
  <c r="K86" i="13"/>
  <c r="K90" i="13"/>
  <c r="M108" i="7"/>
  <c r="M110" i="7"/>
  <c r="L42" i="11"/>
  <c r="L41" i="11"/>
  <c r="L43" i="11" s="1"/>
  <c r="L44" i="11" s="1"/>
  <c r="K38" i="11"/>
  <c r="K34" i="11" s="1"/>
  <c r="K35" i="11" s="1"/>
  <c r="K40" i="11"/>
  <c r="K116" i="13"/>
  <c r="M38" i="11"/>
  <c r="M34" i="11" s="1"/>
  <c r="M35" i="11" s="1"/>
  <c r="D72" i="4" s="1"/>
  <c r="M40" i="11"/>
  <c r="L110" i="13"/>
  <c r="M112" i="7"/>
  <c r="K97" i="13"/>
  <c r="K100" i="13"/>
  <c r="K101" i="13"/>
  <c r="K98" i="13"/>
  <c r="K88" i="13"/>
  <c r="K94" i="13"/>
  <c r="K87" i="13"/>
  <c r="K83" i="13"/>
  <c r="K80" i="13"/>
  <c r="K108" i="13" s="1"/>
  <c r="K89" i="13"/>
  <c r="K99" i="13"/>
  <c r="K79" i="13"/>
  <c r="K96" i="13"/>
  <c r="K95" i="13"/>
  <c r="K85" i="13"/>
  <c r="K92" i="13"/>
  <c r="K84" i="13"/>
  <c r="K82" i="13"/>
  <c r="K93" i="13"/>
  <c r="K102" i="13"/>
  <c r="K81" i="13"/>
  <c r="K91" i="13"/>
  <c r="M98" i="13"/>
  <c r="M102" i="13"/>
  <c r="M91" i="13"/>
  <c r="M93" i="13"/>
  <c r="M83" i="13"/>
  <c r="M99" i="13"/>
  <c r="M84" i="13"/>
  <c r="M85" i="13"/>
  <c r="M79" i="13"/>
  <c r="M81" i="13"/>
  <c r="M100" i="13"/>
  <c r="M89" i="13"/>
  <c r="M82" i="13"/>
  <c r="M80" i="13"/>
  <c r="M108" i="13" s="1"/>
  <c r="M87" i="13"/>
  <c r="M88" i="13"/>
  <c r="M110" i="13" s="1"/>
  <c r="M94" i="13"/>
  <c r="M97" i="13"/>
  <c r="M92" i="13"/>
  <c r="M111" i="13" s="1"/>
  <c r="M95" i="13"/>
  <c r="M96" i="13"/>
  <c r="M101" i="13"/>
  <c r="L113" i="13"/>
  <c r="L108" i="13"/>
  <c r="L114" i="13" s="1"/>
  <c r="L45" i="13" s="1"/>
  <c r="L24" i="13" s="1"/>
  <c r="L29" i="13" s="1"/>
  <c r="L32" i="13" s="1"/>
  <c r="L117" i="13"/>
  <c r="L45" i="7"/>
  <c r="L24" i="7" s="1"/>
  <c r="L29" i="7" s="1"/>
  <c r="L32" i="7" s="1"/>
  <c r="L117" i="7"/>
  <c r="K45" i="7" l="1"/>
  <c r="K24" i="7" s="1"/>
  <c r="K29" i="7" s="1"/>
  <c r="K32" i="7" s="1"/>
  <c r="K117" i="7"/>
  <c r="M113" i="13"/>
  <c r="K113" i="13"/>
  <c r="M42" i="11"/>
  <c r="M41" i="11"/>
  <c r="M43" i="11" s="1"/>
  <c r="M44" i="11" s="1"/>
  <c r="K109" i="13"/>
  <c r="K114" i="13" s="1"/>
  <c r="K110" i="13"/>
  <c r="L37" i="7"/>
  <c r="L33" i="7"/>
  <c r="L36" i="7"/>
  <c r="K111" i="13"/>
  <c r="M114" i="7"/>
  <c r="L33" i="13"/>
  <c r="L37" i="13"/>
  <c r="L36" i="13"/>
  <c r="M109" i="13"/>
  <c r="M114" i="13" s="1"/>
  <c r="K112" i="13"/>
  <c r="M112" i="13"/>
  <c r="K41" i="11"/>
  <c r="K43" i="11" s="1"/>
  <c r="K44" i="11" s="1"/>
  <c r="K42" i="11"/>
  <c r="K45" i="13" l="1"/>
  <c r="K24" i="13" s="1"/>
  <c r="K29" i="13" s="1"/>
  <c r="K32" i="13" s="1"/>
  <c r="K117" i="13"/>
  <c r="M45" i="13"/>
  <c r="M24" i="13" s="1"/>
  <c r="M29" i="13" s="1"/>
  <c r="M32" i="13" s="1"/>
  <c r="M117" i="13"/>
  <c r="L38" i="7"/>
  <c r="L34" i="7" s="1"/>
  <c r="L40" i="7"/>
  <c r="M45" i="7"/>
  <c r="M24" i="7" s="1"/>
  <c r="M29" i="7" s="1"/>
  <c r="M32" i="7" s="1"/>
  <c r="M117" i="7"/>
  <c r="K33" i="7"/>
  <c r="K37" i="7"/>
  <c r="K36" i="7"/>
  <c r="L35" i="7"/>
  <c r="L38" i="13"/>
  <c r="L34" i="13" s="1"/>
  <c r="L35" i="13" s="1"/>
  <c r="L40" i="13"/>
  <c r="L42" i="13" l="1"/>
  <c r="L41" i="13"/>
  <c r="L43" i="13" s="1"/>
  <c r="L44" i="13" s="1"/>
  <c r="L41" i="7"/>
  <c r="L43" i="7" s="1"/>
  <c r="L44" i="7" s="1"/>
  <c r="L42" i="7"/>
  <c r="K38" i="7"/>
  <c r="K34" i="7" s="1"/>
  <c r="K35" i="7" s="1"/>
  <c r="K40" i="7"/>
  <c r="M33" i="7"/>
  <c r="M37" i="7"/>
  <c r="M36" i="7"/>
  <c r="M33" i="13"/>
  <c r="M37" i="13"/>
  <c r="M36" i="13"/>
  <c r="K36" i="13"/>
  <c r="K37" i="13"/>
  <c r="K33" i="13"/>
  <c r="K38" i="13" l="1"/>
  <c r="K34" i="13" s="1"/>
  <c r="K40" i="13"/>
  <c r="M38" i="7"/>
  <c r="M34" i="7" s="1"/>
  <c r="M35" i="7" s="1"/>
  <c r="C72" i="4" s="1"/>
  <c r="M40" i="7"/>
  <c r="M38" i="13"/>
  <c r="M34" i="13" s="1"/>
  <c r="M35" i="13" s="1"/>
  <c r="E72" i="4" s="1"/>
  <c r="M40" i="13"/>
  <c r="K42" i="7"/>
  <c r="K41" i="7"/>
  <c r="K43" i="7" s="1"/>
  <c r="K44" i="7" s="1"/>
  <c r="K35" i="13"/>
  <c r="K42" i="13" l="1"/>
  <c r="K41" i="13"/>
  <c r="K43" i="13" s="1"/>
  <c r="K44" i="13" s="1"/>
  <c r="M42" i="13"/>
  <c r="M41" i="13"/>
  <c r="M43" i="13" s="1"/>
  <c r="M44" i="13" s="1"/>
  <c r="M42" i="7"/>
  <c r="M41" i="7"/>
  <c r="M43" i="7" s="1"/>
  <c r="M44" i="7" s="1"/>
</calcChain>
</file>

<file path=xl/sharedStrings.xml><?xml version="1.0" encoding="utf-8"?>
<sst xmlns="http://schemas.openxmlformats.org/spreadsheetml/2006/main" count="2493" uniqueCount="520">
  <si>
    <t>Units</t>
  </si>
  <si>
    <t>m</t>
  </si>
  <si>
    <t>tons</t>
  </si>
  <si>
    <t>-</t>
  </si>
  <si>
    <t xml:space="preserve"> Midship section coefficient</t>
  </si>
  <si>
    <t>Deafult values</t>
  </si>
  <si>
    <t>knots</t>
  </si>
  <si>
    <t>%</t>
  </si>
  <si>
    <t xml:space="preserve"> Main data</t>
  </si>
  <si>
    <t>Input</t>
  </si>
  <si>
    <t xml:space="preserve"> Water density </t>
  </si>
  <si>
    <t>(t/m^3)</t>
  </si>
  <si>
    <t xml:space="preserve"> Wake fraction (1 = calc.)</t>
  </si>
  <si>
    <t xml:space="preserve"> Length on water line</t>
  </si>
  <si>
    <t>(m)</t>
  </si>
  <si>
    <t xml:space="preserve"> Thrust deduction (1 = calc.)</t>
  </si>
  <si>
    <t xml:space="preserve"> Breadth on water line </t>
  </si>
  <si>
    <t xml:space="preserve"> Hull efficiency (calculated)</t>
  </si>
  <si>
    <t xml:space="preserve"> Mean draught </t>
  </si>
  <si>
    <t xml:space="preserve"> Transm. efficiency (input)</t>
  </si>
  <si>
    <t xml:space="preserve"> Displacement  </t>
  </si>
  <si>
    <t>(tons)</t>
  </si>
  <si>
    <t xml:space="preserve"> Relative rot. efficiency (input)</t>
  </si>
  <si>
    <t xml:space="preserve"> Wetted surface, given as input</t>
  </si>
  <si>
    <t>(m^2)</t>
  </si>
  <si>
    <t xml:space="preserve"> Transition zone:</t>
  </si>
  <si>
    <t xml:space="preserve"> Wetted surface, calculated</t>
  </si>
  <si>
    <t xml:space="preserve"> Lower Froude number</t>
  </si>
  <si>
    <t>(-)</t>
  </si>
  <si>
    <t xml:space="preserve"> Upper Froude number</t>
  </si>
  <si>
    <t xml:space="preserve"> Block coefficient</t>
  </si>
  <si>
    <t xml:space="preserve"> Prismatic coefficient</t>
  </si>
  <si>
    <t xml:space="preserve"> Length-displacement ratio</t>
  </si>
  <si>
    <t xml:space="preserve"> Form fore (V : -3, N: 0, U: +3)</t>
  </si>
  <si>
    <t xml:space="preserve"> Form aft (V: -3, N: 0, U: +3)</t>
  </si>
  <si>
    <t xml:space="preserve"> Normal hull (1) or twin skeg (2)</t>
  </si>
  <si>
    <t xml:space="preserve"> Number of propellers (1 or 2)</t>
  </si>
  <si>
    <t xml:space="preserve"> Propeller diameter </t>
  </si>
  <si>
    <t xml:space="preserve"> Number of blades, N</t>
  </si>
  <si>
    <t xml:space="preserve"> Resistance and power data</t>
  </si>
  <si>
    <t xml:space="preserve"> Speed (input)</t>
  </si>
  <si>
    <t>(knots)</t>
  </si>
  <si>
    <t xml:space="preserve"> Froude Number</t>
  </si>
  <si>
    <t xml:space="preserve"> Cf x 1000</t>
  </si>
  <si>
    <t xml:space="preserve"> Cr x 1000</t>
  </si>
  <si>
    <t xml:space="preserve"> Cr-correction x 1000 (input)</t>
  </si>
  <si>
    <t xml:space="preserve"> Bulbous bow corr. x 1000 (input)</t>
  </si>
  <si>
    <t xml:space="preserve"> Air &amp; steering corr. x 1000 (input)</t>
  </si>
  <si>
    <t xml:space="preserve"> Ca x 1000 </t>
  </si>
  <si>
    <t xml:space="preserve"> Ct x 1000 </t>
  </si>
  <si>
    <t xml:space="preserve"> Service allowance (input)</t>
  </si>
  <si>
    <t>(%)</t>
  </si>
  <si>
    <t xml:space="preserve"> Added resistance (input)</t>
  </si>
  <si>
    <t>(kN)</t>
  </si>
  <si>
    <t xml:space="preserve"> Total resistance</t>
  </si>
  <si>
    <t xml:space="preserve"> Effective power </t>
  </si>
  <si>
    <t>(kW)</t>
  </si>
  <si>
    <t xml:space="preserve"> Total propulsion efficiency </t>
  </si>
  <si>
    <t xml:space="preserve"> Propulsion power</t>
  </si>
  <si>
    <t xml:space="preserve"> Thrust loading coefficent, Cth</t>
  </si>
  <si>
    <t xml:space="preserve"> Necessary blade area ratio</t>
  </si>
  <si>
    <t xml:space="preserve"> Approximate propeller efficiency</t>
  </si>
  <si>
    <t xml:space="preserve"> Va</t>
  </si>
  <si>
    <t>(m/s)</t>
  </si>
  <si>
    <t xml:space="preserve"> Vbehind</t>
  </si>
  <si>
    <t xml:space="preserve"> Vincrease</t>
  </si>
  <si>
    <t xml:space="preserve"> Vbehind/Va</t>
  </si>
  <si>
    <t xml:space="preserve"> Disc. flow speed</t>
  </si>
  <si>
    <t xml:space="preserve"> Water flow pr. propeller</t>
  </si>
  <si>
    <t>(m^3/s)</t>
  </si>
  <si>
    <t xml:space="preserve"> Cr summation</t>
  </si>
  <si>
    <t>A0=</t>
  </si>
  <si>
    <t>A1=</t>
  </si>
  <si>
    <t>N1=</t>
  </si>
  <si>
    <t>B1=</t>
  </si>
  <si>
    <t>B2=</t>
  </si>
  <si>
    <t>B3=</t>
  </si>
  <si>
    <t>G=</t>
  </si>
  <si>
    <t>H=</t>
  </si>
  <si>
    <t>K=</t>
  </si>
  <si>
    <t>E=</t>
  </si>
  <si>
    <t>B/T-corr</t>
  </si>
  <si>
    <t>Formcorr.</t>
  </si>
  <si>
    <t>a=</t>
  </si>
  <si>
    <t>d=</t>
  </si>
  <si>
    <t>b=</t>
  </si>
  <si>
    <t>e=</t>
  </si>
  <si>
    <t>c=</t>
  </si>
  <si>
    <t>f=</t>
  </si>
  <si>
    <t>w1=</t>
  </si>
  <si>
    <t>t1=</t>
  </si>
  <si>
    <t>w2=</t>
  </si>
  <si>
    <t>t2=</t>
  </si>
  <si>
    <t>w3=</t>
  </si>
  <si>
    <t>t3=</t>
  </si>
  <si>
    <t>w(1)=</t>
  </si>
  <si>
    <t>t(1)=</t>
  </si>
  <si>
    <t>w(twsk)=</t>
  </si>
  <si>
    <t>w(2)=</t>
  </si>
  <si>
    <t>t(2)=</t>
  </si>
  <si>
    <t>t(twsk.)=</t>
  </si>
  <si>
    <t xml:space="preserve"> Cavitation area calculation </t>
  </si>
  <si>
    <t>K</t>
  </si>
  <si>
    <r>
      <t>Fn</t>
    </r>
    <r>
      <rPr>
        <b/>
        <vertAlign val="superscript"/>
        <sz val="8"/>
        <rFont val="Arial"/>
        <family val="2"/>
      </rPr>
      <t>2</t>
    </r>
  </si>
  <si>
    <r>
      <t>Fn</t>
    </r>
    <r>
      <rPr>
        <b/>
        <vertAlign val="superscript"/>
        <sz val="8"/>
        <rFont val="Arial"/>
        <family val="2"/>
      </rPr>
      <t>3</t>
    </r>
  </si>
  <si>
    <r>
      <t>Fn</t>
    </r>
    <r>
      <rPr>
        <b/>
        <vertAlign val="superscript"/>
        <sz val="8"/>
        <rFont val="Arial"/>
        <family val="2"/>
      </rPr>
      <t>4</t>
    </r>
    <r>
      <rPr>
        <b/>
        <sz val="10"/>
        <rFont val="Arial"/>
        <family val="2"/>
      </rPr>
      <t/>
    </r>
  </si>
  <si>
    <r>
      <t>Fn</t>
    </r>
    <r>
      <rPr>
        <b/>
        <vertAlign val="superscript"/>
        <sz val="8"/>
        <rFont val="Arial"/>
        <family val="2"/>
      </rPr>
      <t>5</t>
    </r>
    <r>
      <rPr>
        <b/>
        <sz val="10"/>
        <rFont val="Arial"/>
        <family val="2"/>
      </rPr>
      <t/>
    </r>
  </si>
  <si>
    <t>A1</t>
  </si>
  <si>
    <t>A2</t>
  </si>
  <si>
    <t>A3</t>
  </si>
  <si>
    <t>B1</t>
  </si>
  <si>
    <t>B2</t>
  </si>
  <si>
    <t>B3</t>
  </si>
  <si>
    <t>C1</t>
  </si>
  <si>
    <t>C2</t>
  </si>
  <si>
    <t>C3</t>
  </si>
  <si>
    <t>D1</t>
  </si>
  <si>
    <t>D2</t>
  </si>
  <si>
    <t>D3</t>
  </si>
  <si>
    <t>E1</t>
  </si>
  <si>
    <t>E2</t>
  </si>
  <si>
    <t>E3</t>
  </si>
  <si>
    <t>Cr</t>
  </si>
  <si>
    <t>Fn</t>
  </si>
  <si>
    <t xml:space="preserve"> Service allowance (pct.)</t>
  </si>
  <si>
    <t xml:space="preserve"> Water temperature (degrees Celcius)</t>
  </si>
  <si>
    <t xml:space="preserve"> Bulbous bow (0 = No, 1 = Yes)</t>
  </si>
  <si>
    <r>
      <t xml:space="preserve"> Cr for L/volume</t>
    </r>
    <r>
      <rPr>
        <vertAlign val="superscript"/>
        <sz val="8"/>
        <rFont val="Arial"/>
        <family val="2"/>
      </rPr>
      <t>1/3</t>
    </r>
    <r>
      <rPr>
        <sz val="8"/>
        <rFont val="Arial"/>
        <family val="2"/>
      </rPr>
      <t xml:space="preserve"> = 4,5</t>
    </r>
  </si>
  <si>
    <r>
      <t xml:space="preserve"> Cr for L/volume</t>
    </r>
    <r>
      <rPr>
        <vertAlign val="superscript"/>
        <sz val="8"/>
        <rFont val="Arial"/>
        <family val="2"/>
      </rPr>
      <t>1/3</t>
    </r>
    <r>
      <rPr>
        <sz val="8"/>
        <rFont val="Arial"/>
        <family val="2"/>
      </rPr>
      <t xml:space="preserve"> = 5,0</t>
    </r>
  </si>
  <si>
    <r>
      <t xml:space="preserve"> Cr for L/volume</t>
    </r>
    <r>
      <rPr>
        <vertAlign val="superscript"/>
        <sz val="8"/>
        <rFont val="Arial"/>
        <family val="2"/>
      </rPr>
      <t>1/3</t>
    </r>
    <r>
      <rPr>
        <sz val="8"/>
        <rFont val="Arial"/>
        <family val="2"/>
      </rPr>
      <t xml:space="preserve"> = 5,5</t>
    </r>
  </si>
  <si>
    <t xml:space="preserve"> 1 = conv. - 2 = ducted</t>
  </si>
  <si>
    <t>Korrekt beregnet CR</t>
  </si>
  <si>
    <r>
      <t xml:space="preserve"> Cr for L/volume</t>
    </r>
    <r>
      <rPr>
        <vertAlign val="superscript"/>
        <sz val="8"/>
        <rFont val="Arial"/>
        <family val="2"/>
      </rPr>
      <t>1/3</t>
    </r>
    <r>
      <rPr>
        <sz val="8"/>
        <rFont val="Arial"/>
        <family val="2"/>
      </rPr>
      <t xml:space="preserve"> = 4,5 and Cp = 0,75</t>
    </r>
  </si>
  <si>
    <r>
      <t xml:space="preserve"> Cr for L/volume</t>
    </r>
    <r>
      <rPr>
        <vertAlign val="superscript"/>
        <sz val="8"/>
        <rFont val="Arial"/>
        <family val="2"/>
      </rPr>
      <t>1/3</t>
    </r>
    <r>
      <rPr>
        <sz val="8"/>
        <rFont val="Arial"/>
        <family val="2"/>
      </rPr>
      <t xml:space="preserve"> = 4,5 and Cp = 0,80</t>
    </r>
  </si>
  <si>
    <r>
      <t xml:space="preserve"> Cr for L/volume</t>
    </r>
    <r>
      <rPr>
        <vertAlign val="superscript"/>
        <sz val="8"/>
        <rFont val="Arial"/>
        <family val="2"/>
      </rPr>
      <t>1/3</t>
    </r>
    <r>
      <rPr>
        <sz val="8"/>
        <rFont val="Arial"/>
        <family val="2"/>
      </rPr>
      <t xml:space="preserve"> = 4,5 and Cp = 0,85</t>
    </r>
  </si>
  <si>
    <r>
      <t xml:space="preserve"> Cr for L/volume</t>
    </r>
    <r>
      <rPr>
        <vertAlign val="superscript"/>
        <sz val="8"/>
        <rFont val="Arial"/>
        <family val="2"/>
      </rPr>
      <t>1/3</t>
    </r>
    <r>
      <rPr>
        <sz val="8"/>
        <rFont val="Arial"/>
        <family val="2"/>
      </rPr>
      <t xml:space="preserve"> = 5 and Cp = 0,75</t>
    </r>
  </si>
  <si>
    <r>
      <t xml:space="preserve"> Cr for L/volume</t>
    </r>
    <r>
      <rPr>
        <vertAlign val="superscript"/>
        <sz val="8"/>
        <rFont val="Arial"/>
        <family val="2"/>
      </rPr>
      <t>1/3</t>
    </r>
    <r>
      <rPr>
        <sz val="8"/>
        <rFont val="Arial"/>
        <family val="2"/>
      </rPr>
      <t xml:space="preserve"> = 5 and Cp = 0,80</t>
    </r>
  </si>
  <si>
    <r>
      <t xml:space="preserve"> Cr for L/volume</t>
    </r>
    <r>
      <rPr>
        <vertAlign val="superscript"/>
        <sz val="8"/>
        <rFont val="Arial"/>
        <family val="2"/>
      </rPr>
      <t>1/3</t>
    </r>
    <r>
      <rPr>
        <sz val="8"/>
        <rFont val="Arial"/>
        <family val="2"/>
      </rPr>
      <t xml:space="preserve"> = 5 and Cp = 0,85</t>
    </r>
  </si>
  <si>
    <r>
      <t xml:space="preserve"> Cr for L/volume</t>
    </r>
    <r>
      <rPr>
        <vertAlign val="superscript"/>
        <sz val="8"/>
        <rFont val="Arial"/>
        <family val="2"/>
      </rPr>
      <t>1/3</t>
    </r>
    <r>
      <rPr>
        <sz val="8"/>
        <rFont val="Arial"/>
        <family val="2"/>
      </rPr>
      <t xml:space="preserve"> = 5,5 and Cp = 0,75</t>
    </r>
  </si>
  <si>
    <r>
      <t xml:space="preserve"> Cr for L/volume</t>
    </r>
    <r>
      <rPr>
        <vertAlign val="superscript"/>
        <sz val="8"/>
        <rFont val="Arial"/>
        <family val="2"/>
      </rPr>
      <t>1/3</t>
    </r>
    <r>
      <rPr>
        <sz val="8"/>
        <rFont val="Arial"/>
        <family val="2"/>
      </rPr>
      <t xml:space="preserve"> = 5,5 and Cp = 0,80</t>
    </r>
  </si>
  <si>
    <r>
      <t xml:space="preserve"> Cr for L/volume</t>
    </r>
    <r>
      <rPr>
        <vertAlign val="superscript"/>
        <sz val="8"/>
        <rFont val="Arial"/>
        <family val="2"/>
      </rPr>
      <t>1/3</t>
    </r>
    <r>
      <rPr>
        <sz val="8"/>
        <rFont val="Arial"/>
        <family val="2"/>
      </rPr>
      <t xml:space="preserve"> = 5,5 and Cp = 0,85</t>
    </r>
  </si>
  <si>
    <t>F1</t>
  </si>
  <si>
    <t>F2</t>
  </si>
  <si>
    <t>F3</t>
  </si>
  <si>
    <t>G1</t>
  </si>
  <si>
    <t>G2</t>
  </si>
  <si>
    <t>G3</t>
  </si>
  <si>
    <t>G4</t>
  </si>
  <si>
    <r>
      <t xml:space="preserve"> Cr for L/volume</t>
    </r>
    <r>
      <rPr>
        <vertAlign val="superscript"/>
        <sz val="8"/>
        <rFont val="Arial"/>
        <family val="2"/>
      </rPr>
      <t>1/3</t>
    </r>
    <r>
      <rPr>
        <sz val="8"/>
        <rFont val="Arial"/>
        <family val="2"/>
      </rPr>
      <t xml:space="preserve"> = 6 and Cp = 0,75</t>
    </r>
  </si>
  <si>
    <r>
      <t xml:space="preserve"> Cr for L/volume</t>
    </r>
    <r>
      <rPr>
        <vertAlign val="superscript"/>
        <sz val="8"/>
        <rFont val="Arial"/>
        <family val="2"/>
      </rPr>
      <t>1/3</t>
    </r>
    <r>
      <rPr>
        <sz val="8"/>
        <rFont val="Arial"/>
        <family val="2"/>
      </rPr>
      <t xml:space="preserve"> = 6 and Cp = 0,80</t>
    </r>
  </si>
  <si>
    <r>
      <t xml:space="preserve"> Cr for L/volume</t>
    </r>
    <r>
      <rPr>
        <vertAlign val="superscript"/>
        <sz val="8"/>
        <rFont val="Arial"/>
        <family val="2"/>
      </rPr>
      <t>1/3</t>
    </r>
    <r>
      <rPr>
        <sz val="8"/>
        <rFont val="Arial"/>
        <family val="2"/>
      </rPr>
      <t xml:space="preserve"> = 6 and Cp = 0,85</t>
    </r>
  </si>
  <si>
    <r>
      <t xml:space="preserve"> Cr for L/volume</t>
    </r>
    <r>
      <rPr>
        <vertAlign val="superscript"/>
        <sz val="8"/>
        <rFont val="Arial"/>
        <family val="2"/>
      </rPr>
      <t>1/3</t>
    </r>
    <r>
      <rPr>
        <sz val="8"/>
        <rFont val="Arial"/>
        <family val="2"/>
      </rPr>
      <t xml:space="preserve"> = 6,5 and Cp = 0,75</t>
    </r>
  </si>
  <si>
    <r>
      <t xml:space="preserve"> Cr for L/volume</t>
    </r>
    <r>
      <rPr>
        <vertAlign val="superscript"/>
        <sz val="8"/>
        <rFont val="Arial"/>
        <family val="2"/>
      </rPr>
      <t>1/3</t>
    </r>
    <r>
      <rPr>
        <sz val="8"/>
        <rFont val="Arial"/>
        <family val="2"/>
      </rPr>
      <t xml:space="preserve"> = 6,5 and Cp = 0,80</t>
    </r>
  </si>
  <si>
    <r>
      <t xml:space="preserve"> Cr for L/volume</t>
    </r>
    <r>
      <rPr>
        <vertAlign val="superscript"/>
        <sz val="8"/>
        <rFont val="Arial"/>
        <family val="2"/>
      </rPr>
      <t>1/3</t>
    </r>
    <r>
      <rPr>
        <sz val="8"/>
        <rFont val="Arial"/>
        <family val="2"/>
      </rPr>
      <t xml:space="preserve"> = 6,5 and Cp = 0,85</t>
    </r>
  </si>
  <si>
    <r>
      <t xml:space="preserve"> Cr for L/volume</t>
    </r>
    <r>
      <rPr>
        <vertAlign val="superscript"/>
        <sz val="8"/>
        <rFont val="Arial"/>
        <family val="2"/>
      </rPr>
      <t>1/3</t>
    </r>
    <r>
      <rPr>
        <sz val="8"/>
        <rFont val="Arial"/>
        <family val="2"/>
      </rPr>
      <t xml:space="preserve"> = 6,0</t>
    </r>
  </si>
  <si>
    <r>
      <t xml:space="preserve"> Cr for L/volume</t>
    </r>
    <r>
      <rPr>
        <vertAlign val="superscript"/>
        <sz val="8"/>
        <rFont val="Arial"/>
        <family val="2"/>
      </rPr>
      <t>1/3</t>
    </r>
    <r>
      <rPr>
        <sz val="8"/>
        <rFont val="Arial"/>
        <family val="2"/>
      </rPr>
      <t xml:space="preserve"> = 6,5</t>
    </r>
  </si>
  <si>
    <t>kW</t>
  </si>
  <si>
    <t>pct. MCR</t>
  </si>
  <si>
    <t>pct.</t>
  </si>
  <si>
    <t>g/dwt/nm</t>
  </si>
  <si>
    <t>% MCR</t>
  </si>
  <si>
    <t>t/hour</t>
  </si>
  <si>
    <r>
      <t>t/m</t>
    </r>
    <r>
      <rPr>
        <vertAlign val="superscript"/>
        <sz val="9"/>
        <rFont val="Arial"/>
        <family val="2"/>
      </rPr>
      <t>3</t>
    </r>
  </si>
  <si>
    <t>of draught</t>
  </si>
  <si>
    <t>75 % MCR</t>
  </si>
  <si>
    <t>Cr Guldh.</t>
  </si>
  <si>
    <t>Cr diff.</t>
  </si>
  <si>
    <t xml:space="preserve"> Design speed (knots)</t>
  </si>
  <si>
    <t xml:space="preserve"> Emissions and energy demand</t>
  </si>
  <si>
    <t xml:space="preserve"> Condition data</t>
  </si>
  <si>
    <t xml:space="preserve"> Deadweight (cargo + consumerables + ballast water etc.)</t>
  </si>
  <si>
    <t xml:space="preserve"> Draught </t>
  </si>
  <si>
    <t xml:space="preserve"> Ship speed</t>
  </si>
  <si>
    <t xml:space="preserve"> Energy demand</t>
  </si>
  <si>
    <t xml:space="preserve"> Energy demand per hour</t>
  </si>
  <si>
    <t>GJ/hour</t>
  </si>
  <si>
    <t>GJ/nm</t>
  </si>
  <si>
    <t>MJ/dwt/nm</t>
  </si>
  <si>
    <t>kg/nm</t>
  </si>
  <si>
    <r>
      <t xml:space="preserve"> NOx</t>
    </r>
    <r>
      <rPr>
        <sz val="10"/>
        <rFont val="Arial"/>
        <family val="2"/>
      </rPr>
      <t xml:space="preserve"> emissions per hour</t>
    </r>
  </si>
  <si>
    <t>kg/hour</t>
  </si>
  <si>
    <r>
      <t xml:space="preserve"> NOx</t>
    </r>
    <r>
      <rPr>
        <sz val="10"/>
        <rFont val="Arial"/>
        <family val="2"/>
      </rPr>
      <t xml:space="preserve"> emissions per nautical mile</t>
    </r>
  </si>
  <si>
    <r>
      <t xml:space="preserve"> NOx</t>
    </r>
    <r>
      <rPr>
        <sz val="10"/>
        <rFont val="Arial"/>
        <family val="2"/>
      </rPr>
      <t xml:space="preserve"> emissions per ton deadweight per nautical mile</t>
    </r>
  </si>
  <si>
    <t xml:space="preserve"> SOx emissions</t>
  </si>
  <si>
    <t xml:space="preserve"> SOx emissions per hour</t>
  </si>
  <si>
    <t xml:space="preserve"> SOx emissions per nautical mile</t>
  </si>
  <si>
    <t xml:space="preserve"> SOx emissions per ton deadweight per nautical mile</t>
  </si>
  <si>
    <t xml:space="preserve"> CO emissions</t>
  </si>
  <si>
    <t xml:space="preserve"> CO emissions per hour</t>
  </si>
  <si>
    <t xml:space="preserve"> CO emissions per nautical mile</t>
  </si>
  <si>
    <t xml:space="preserve"> CO emissions per ton deadweight per nautical mile</t>
  </si>
  <si>
    <t xml:space="preserve"> Particulate emissions</t>
  </si>
  <si>
    <t xml:space="preserve"> Particulate emissions per hour</t>
  </si>
  <si>
    <t xml:space="preserve"> Particalate emissions per nautical mile</t>
  </si>
  <si>
    <t xml:space="preserve"> Particulate emissions per ton deadweight per nautical mile</t>
  </si>
  <si>
    <r>
      <t xml:space="preserve"> CO</t>
    </r>
    <r>
      <rPr>
        <b/>
        <vertAlign val="subscript"/>
        <sz val="14"/>
        <rFont val="Arial"/>
        <family val="2"/>
      </rPr>
      <t>2</t>
    </r>
    <r>
      <rPr>
        <b/>
        <sz val="14"/>
        <rFont val="Arial"/>
        <family val="2"/>
      </rPr>
      <t xml:space="preserve"> emissions</t>
    </r>
  </si>
  <si>
    <r>
      <t xml:space="preserve"> CO</t>
    </r>
    <r>
      <rPr>
        <vertAlign val="subscript"/>
        <sz val="10"/>
        <rFont val="Arial"/>
        <family val="2"/>
      </rPr>
      <t>2</t>
    </r>
    <r>
      <rPr>
        <sz val="10"/>
        <rFont val="Arial"/>
        <family val="2"/>
      </rPr>
      <t xml:space="preserve"> emissions per hour</t>
    </r>
  </si>
  <si>
    <r>
      <t xml:space="preserve"> CO</t>
    </r>
    <r>
      <rPr>
        <vertAlign val="subscript"/>
        <sz val="10"/>
        <rFont val="Arial"/>
        <family val="2"/>
      </rPr>
      <t>2</t>
    </r>
    <r>
      <rPr>
        <sz val="10"/>
        <rFont val="Arial"/>
        <family val="2"/>
      </rPr>
      <t xml:space="preserve"> emissions per nautical mile</t>
    </r>
  </si>
  <si>
    <r>
      <t xml:space="preserve"> CO</t>
    </r>
    <r>
      <rPr>
        <vertAlign val="subscript"/>
        <sz val="10"/>
        <rFont val="Arial"/>
        <family val="2"/>
      </rPr>
      <t>2</t>
    </r>
    <r>
      <rPr>
        <sz val="10"/>
        <rFont val="Arial"/>
        <family val="2"/>
      </rPr>
      <t xml:space="preserve"> emissions per ton deadweight per nautical mile</t>
    </r>
  </si>
  <si>
    <r>
      <t xml:space="preserve"> NOx</t>
    </r>
    <r>
      <rPr>
        <b/>
        <sz val="14"/>
        <rFont val="Arial"/>
        <family val="2"/>
      </rPr>
      <t xml:space="preserve"> emissions</t>
    </r>
  </si>
  <si>
    <t xml:space="preserve"> CO emission (g/kW(hour)</t>
  </si>
  <si>
    <t xml:space="preserve"> HC emission (g/kW/hour)</t>
  </si>
  <si>
    <t xml:space="preserve"> Particulates (g/kW/hour)</t>
  </si>
  <si>
    <t xml:space="preserve"> S content in oil (pct.)</t>
  </si>
  <si>
    <r>
      <t>Fn</t>
    </r>
    <r>
      <rPr>
        <b/>
        <vertAlign val="superscript"/>
        <sz val="8"/>
        <rFont val="Arial"/>
        <family val="2"/>
      </rPr>
      <t>6</t>
    </r>
    <r>
      <rPr>
        <b/>
        <sz val="10"/>
        <rFont val="Arial"/>
        <family val="2"/>
      </rPr>
      <t/>
    </r>
  </si>
  <si>
    <r>
      <t xml:space="preserve"> Cr for L/volume</t>
    </r>
    <r>
      <rPr>
        <vertAlign val="superscript"/>
        <sz val="8"/>
        <rFont val="Arial"/>
        <family val="2"/>
      </rPr>
      <t>1/3</t>
    </r>
    <r>
      <rPr>
        <sz val="8"/>
        <rFont val="Arial"/>
        <family val="2"/>
      </rPr>
      <t xml:space="preserve"> = 4,5 and Cp = 0,70</t>
    </r>
  </si>
  <si>
    <r>
      <t xml:space="preserve"> Cr for L/volume</t>
    </r>
    <r>
      <rPr>
        <vertAlign val="superscript"/>
        <sz val="8"/>
        <rFont val="Arial"/>
        <family val="2"/>
      </rPr>
      <t>1/3</t>
    </r>
    <r>
      <rPr>
        <sz val="8"/>
        <rFont val="Arial"/>
        <family val="2"/>
      </rPr>
      <t xml:space="preserve"> = 5 and Cp = 0,70</t>
    </r>
  </si>
  <si>
    <r>
      <t xml:space="preserve"> Cr for L/volume</t>
    </r>
    <r>
      <rPr>
        <vertAlign val="superscript"/>
        <sz val="8"/>
        <rFont val="Arial"/>
        <family val="2"/>
      </rPr>
      <t>1/3</t>
    </r>
    <r>
      <rPr>
        <sz val="8"/>
        <rFont val="Arial"/>
        <family val="2"/>
      </rPr>
      <t xml:space="preserve"> = 5,5 and Cp = 0,70</t>
    </r>
  </si>
  <si>
    <r>
      <t xml:space="preserve"> Cr for L/volume</t>
    </r>
    <r>
      <rPr>
        <vertAlign val="superscript"/>
        <sz val="8"/>
        <rFont val="Arial"/>
        <family val="2"/>
      </rPr>
      <t>1/3</t>
    </r>
    <r>
      <rPr>
        <sz val="8"/>
        <rFont val="Arial"/>
        <family val="2"/>
      </rPr>
      <t xml:space="preserve"> = 6 and Cp = 0,70</t>
    </r>
  </si>
  <si>
    <r>
      <t xml:space="preserve"> Cr for L/volume</t>
    </r>
    <r>
      <rPr>
        <vertAlign val="superscript"/>
        <sz val="8"/>
        <rFont val="Arial"/>
        <family val="2"/>
      </rPr>
      <t>1/3</t>
    </r>
    <r>
      <rPr>
        <sz val="8"/>
        <rFont val="Arial"/>
        <family val="2"/>
      </rPr>
      <t xml:space="preserve"> = 6,5 and Cp = 0,70</t>
    </r>
  </si>
  <si>
    <t>A0</t>
  </si>
  <si>
    <t>B0</t>
  </si>
  <si>
    <t>C0</t>
  </si>
  <si>
    <t>D0</t>
  </si>
  <si>
    <t>E0</t>
  </si>
  <si>
    <r>
      <t xml:space="preserve"> Cr for L/volume</t>
    </r>
    <r>
      <rPr>
        <vertAlign val="superscript"/>
        <sz val="8"/>
        <rFont val="Arial"/>
        <family val="2"/>
      </rPr>
      <t>1/3</t>
    </r>
    <r>
      <rPr>
        <sz val="8"/>
        <rFont val="Arial"/>
        <family val="2"/>
      </rPr>
      <t xml:space="preserve"> = 7,0 and Cp = 0,70</t>
    </r>
  </si>
  <si>
    <r>
      <t xml:space="preserve"> Cr for L/volume</t>
    </r>
    <r>
      <rPr>
        <vertAlign val="superscript"/>
        <sz val="8"/>
        <rFont val="Arial"/>
        <family val="2"/>
      </rPr>
      <t>1/3</t>
    </r>
    <r>
      <rPr>
        <sz val="8"/>
        <rFont val="Arial"/>
        <family val="2"/>
      </rPr>
      <t xml:space="preserve"> = 7,0 and Cp = 0,75</t>
    </r>
  </si>
  <si>
    <r>
      <t xml:space="preserve"> Cr for L/volume</t>
    </r>
    <r>
      <rPr>
        <vertAlign val="superscript"/>
        <sz val="8"/>
        <rFont val="Arial"/>
        <family val="2"/>
      </rPr>
      <t>1/3</t>
    </r>
    <r>
      <rPr>
        <sz val="8"/>
        <rFont val="Arial"/>
        <family val="2"/>
      </rPr>
      <t xml:space="preserve"> = 7,0 and Cp = 0,80</t>
    </r>
  </si>
  <si>
    <r>
      <t xml:space="preserve"> Cr for L/volume</t>
    </r>
    <r>
      <rPr>
        <vertAlign val="superscript"/>
        <sz val="8"/>
        <rFont val="Arial"/>
        <family val="2"/>
      </rPr>
      <t>1/3</t>
    </r>
    <r>
      <rPr>
        <sz val="8"/>
        <rFont val="Arial"/>
        <family val="2"/>
      </rPr>
      <t xml:space="preserve"> = 7,0 and Cp = 0,85</t>
    </r>
  </si>
  <si>
    <t>F0</t>
  </si>
  <si>
    <t>G0</t>
  </si>
  <si>
    <t>H1</t>
  </si>
  <si>
    <t>H3</t>
  </si>
  <si>
    <t>H2</t>
  </si>
  <si>
    <r>
      <t xml:space="preserve"> Cr for L/volume</t>
    </r>
    <r>
      <rPr>
        <vertAlign val="superscript"/>
        <sz val="8"/>
        <rFont val="Arial"/>
        <family val="2"/>
      </rPr>
      <t>1/3</t>
    </r>
    <r>
      <rPr>
        <sz val="8"/>
        <rFont val="Arial"/>
        <family val="2"/>
      </rPr>
      <t xml:space="preserve"> = 7,0</t>
    </r>
  </si>
  <si>
    <t>H4</t>
  </si>
  <si>
    <t>H5</t>
  </si>
  <si>
    <t>H6</t>
  </si>
  <si>
    <t xml:space="preserve"> Cr for L/volume1/3 = 4,5 and Cp = 0,70</t>
  </si>
  <si>
    <t xml:space="preserve"> Cr for L/volume1/3 = 4,5 and Cp = 0,75</t>
  </si>
  <si>
    <t xml:space="preserve"> Cr for L/volume1/3 = 4,5 and Cp = 0,80</t>
  </si>
  <si>
    <t xml:space="preserve"> Cr for L/volume1/3 = 4,5 and Cp = 0,85</t>
  </si>
  <si>
    <t xml:space="preserve"> Cr for L/volume1/3 = 5 and Cp = 0,70</t>
  </si>
  <si>
    <t xml:space="preserve"> Cr for L/volume1/3 = 5 and Cp = 0,75</t>
  </si>
  <si>
    <t xml:space="preserve"> Cr for L/volume1/3 = 5 and Cp = 0,80</t>
  </si>
  <si>
    <t xml:space="preserve"> Cr for L/volume1/3 = 5 and Cp = 0,85</t>
  </si>
  <si>
    <t xml:space="preserve"> Cr for L/volume1/3 = 5,5 and Cp = 0,70</t>
  </si>
  <si>
    <t xml:space="preserve"> Cr for L/volume1/3 = 5,5 and Cp = 0,75</t>
  </si>
  <si>
    <t xml:space="preserve"> Cr for L/volume1/3 = 5,5 and Cp = 0,80</t>
  </si>
  <si>
    <t xml:space="preserve"> Cr for L/volume1/3 = 5,5 and Cp = 0,85</t>
  </si>
  <si>
    <t xml:space="preserve"> Cr for L/volume1/3 = 6 and Cp = 0,70</t>
  </si>
  <si>
    <t xml:space="preserve"> Cr for L/volume1/3 = 6 and Cp = 0,75</t>
  </si>
  <si>
    <t xml:space="preserve"> Cr for L/volume1/3 = 6 and Cp = 0,80</t>
  </si>
  <si>
    <t xml:space="preserve"> Cr for L/volume1/3 = 6 and Cp = 0,85</t>
  </si>
  <si>
    <t xml:space="preserve"> Cr for L/volume1/3 = 6,5 and Cp = 0,70</t>
  </si>
  <si>
    <t xml:space="preserve"> Cr for L/volume1/3 = 6,5 and Cp = 0,75</t>
  </si>
  <si>
    <t xml:space="preserve"> Cr for L/volume1/3 = 6,5 and Cp = 0,80</t>
  </si>
  <si>
    <t xml:space="preserve"> Cr for L/volume1/3 = 6,5 and Cp = 0,85</t>
  </si>
  <si>
    <t xml:space="preserve"> Cr for L/volume1/3 = 7,0 and Cp = 0,70</t>
  </si>
  <si>
    <t xml:space="preserve"> Cr for L/volume1/3 = 7,0 and Cp = 0,75</t>
  </si>
  <si>
    <t xml:space="preserve"> Cr for L/volume1/3 = 7,0 and Cp = 0,80</t>
  </si>
  <si>
    <t xml:space="preserve"> Cr for L/volume1/3 = 7,0 and Cp = 0,85</t>
  </si>
  <si>
    <t xml:space="preserve"> Cr for L/volume1/3 = 4,5</t>
  </si>
  <si>
    <t xml:space="preserve"> Cr for L/volume1/3 = 5,0</t>
  </si>
  <si>
    <t xml:space="preserve"> Cr for L/volume1/3 = 5,5</t>
  </si>
  <si>
    <t xml:space="preserve"> Cr for L/volume1/3 = 6,0</t>
  </si>
  <si>
    <t xml:space="preserve"> Cr for L/volume1/3 = 6,5</t>
  </si>
  <si>
    <t xml:space="preserve"> Cr for L/volume1/3 = 7,0</t>
  </si>
  <si>
    <r>
      <t>Fn</t>
    </r>
    <r>
      <rPr>
        <b/>
        <vertAlign val="superscript"/>
        <sz val="8"/>
        <rFont val="Arial"/>
        <family val="2"/>
      </rPr>
      <t>6</t>
    </r>
  </si>
  <si>
    <r>
      <t>Fn</t>
    </r>
    <r>
      <rPr>
        <b/>
        <vertAlign val="superscript"/>
        <sz val="8"/>
        <rFont val="Arial"/>
        <family val="2"/>
      </rPr>
      <t>6</t>
    </r>
  </si>
  <si>
    <t xml:space="preserve"> Ship data</t>
  </si>
  <si>
    <t xml:space="preserve"> Wind speed (m/s)</t>
  </si>
  <si>
    <t>Cx</t>
  </si>
  <si>
    <t xml:space="preserve"> Wind resistance in head wind</t>
  </si>
  <si>
    <t xml:space="preserve">Length between pp </t>
  </si>
  <si>
    <t>Length in waterline incl. bulbous bow</t>
  </si>
  <si>
    <t>Breadth mld.</t>
  </si>
  <si>
    <t>Depth</t>
  </si>
  <si>
    <t>Design draught</t>
  </si>
  <si>
    <t>Design deadweight</t>
  </si>
  <si>
    <t>Displacement at design draught</t>
  </si>
  <si>
    <t>Block coefficient at design draught</t>
  </si>
  <si>
    <r>
      <t>Lpp/Displ.</t>
    </r>
    <r>
      <rPr>
        <vertAlign val="superscript"/>
        <sz val="9"/>
        <rFont val="Arial"/>
        <family val="2"/>
      </rPr>
      <t>1/3</t>
    </r>
    <r>
      <rPr>
        <sz val="9"/>
        <rFont val="Arial"/>
        <family val="2"/>
      </rPr>
      <t xml:space="preserve"> at design draught</t>
    </r>
  </si>
  <si>
    <t>Prismatic coefficient at design draught</t>
  </si>
  <si>
    <t>Service speed at design draught</t>
  </si>
  <si>
    <t>Service allowance on resistance</t>
  </si>
  <si>
    <t>Transmission efficiency</t>
  </si>
  <si>
    <t>Main engine power (MCR)</t>
  </si>
  <si>
    <t>Auxiliary power at sea at design draught</t>
  </si>
  <si>
    <t>Propeller diameter</t>
  </si>
  <si>
    <t>Propeller loading (MCR)</t>
  </si>
  <si>
    <r>
      <t>Speed dependency exponent n (Power = constant V</t>
    </r>
    <r>
      <rPr>
        <b/>
        <vertAlign val="superscript"/>
        <sz val="9"/>
        <color indexed="10"/>
        <rFont val="Arial"/>
        <family val="2"/>
      </rPr>
      <t>n</t>
    </r>
    <r>
      <rPr>
        <b/>
        <sz val="9"/>
        <color indexed="10"/>
        <rFont val="Arial"/>
        <family val="2"/>
      </rPr>
      <t>)</t>
    </r>
  </si>
  <si>
    <r>
      <t>IMO Energy Efficiency Design Index (CO</t>
    </r>
    <r>
      <rPr>
        <b/>
        <vertAlign val="subscript"/>
        <sz val="9"/>
        <color indexed="10"/>
        <rFont val="Arial"/>
        <family val="2"/>
      </rPr>
      <t>2</t>
    </r>
    <r>
      <rPr>
        <b/>
        <sz val="9"/>
        <color indexed="10"/>
        <rFont val="Arial"/>
        <family val="2"/>
      </rPr>
      <t xml:space="preserve"> emissions)</t>
    </r>
  </si>
  <si>
    <r>
      <t>IMO Energy Efficiency Design Index (MEPC 62</t>
    </r>
    <r>
      <rPr>
        <b/>
        <sz val="9"/>
        <color indexed="10"/>
        <rFont val="Arial"/>
        <family val="2"/>
      </rPr>
      <t>)</t>
    </r>
  </si>
  <si>
    <t>Capacity utilization (100 % ~ design condition)</t>
  </si>
  <si>
    <t>Actual deadweight</t>
  </si>
  <si>
    <t>Actual displacement</t>
  </si>
  <si>
    <t>Block coefficient at actual draught</t>
  </si>
  <si>
    <t>Service speed at actual draught</t>
  </si>
  <si>
    <r>
      <t>Speed dependency exponent n (Power = constant V</t>
    </r>
    <r>
      <rPr>
        <vertAlign val="superscript"/>
        <sz val="9"/>
        <rFont val="Arial"/>
        <family val="2"/>
      </rPr>
      <t>n</t>
    </r>
    <r>
      <rPr>
        <sz val="9"/>
        <rFont val="Arial"/>
        <family val="2"/>
      </rPr>
      <t>)</t>
    </r>
  </si>
  <si>
    <t>Necessary mian engine power at actual deadweight</t>
  </si>
  <si>
    <t>Engine rating in actual condition</t>
  </si>
  <si>
    <t>ACTUAL CONDITION</t>
  </si>
  <si>
    <r>
      <t>kW/m</t>
    </r>
    <r>
      <rPr>
        <vertAlign val="superscript"/>
        <sz val="9"/>
        <rFont val="Arial"/>
        <family val="2"/>
      </rPr>
      <t>2</t>
    </r>
  </si>
  <si>
    <t>Calculated wind speed acc. to Beaufort No.</t>
  </si>
  <si>
    <t>Beaufort No.</t>
  </si>
  <si>
    <t>m/s</t>
  </si>
  <si>
    <r>
      <t>m</t>
    </r>
    <r>
      <rPr>
        <vertAlign val="superscript"/>
        <sz val="9"/>
        <rFont val="Arial"/>
        <family val="2"/>
      </rPr>
      <t>2</t>
    </r>
  </si>
  <si>
    <t>Wetted surface at design draught</t>
  </si>
  <si>
    <t>Actual draught</t>
  </si>
  <si>
    <t>Propeller type (1 = conventional - 2 = ducted)</t>
  </si>
  <si>
    <t xml:space="preserve"> Total resistance incl. serv. allow.</t>
  </si>
  <si>
    <t>Structural enhancement (change of lightweight)</t>
  </si>
  <si>
    <t>Displacement at maximum draught</t>
  </si>
  <si>
    <t>Maximum draugth - design draught</t>
  </si>
  <si>
    <t xml:space="preserve">Design deadweight/Maximum deadweight </t>
  </si>
  <si>
    <t>Maximum deadweight</t>
  </si>
  <si>
    <t>Maximum draught</t>
  </si>
  <si>
    <t>Design Dw/Maximum displacement</t>
  </si>
  <si>
    <t>Scantling Dw/Maximum displacement</t>
  </si>
  <si>
    <t>Block coefficient at maximum draught</t>
  </si>
  <si>
    <r>
      <t>Lpp/Displ.</t>
    </r>
    <r>
      <rPr>
        <vertAlign val="superscript"/>
        <sz val="9"/>
        <rFont val="Arial"/>
        <family val="2"/>
      </rPr>
      <t>1/3</t>
    </r>
    <r>
      <rPr>
        <sz val="9"/>
        <rFont val="Arial"/>
        <family val="2"/>
      </rPr>
      <t xml:space="preserve"> at maximum draught</t>
    </r>
  </si>
  <si>
    <t>Prismatic coefficient at maximum draught</t>
  </si>
  <si>
    <t>Waterplane area coefficient at maximum draught</t>
  </si>
  <si>
    <t>Wetted surface at maximum draught</t>
  </si>
  <si>
    <t xml:space="preserve"> Payload (cargo)</t>
  </si>
  <si>
    <t xml:space="preserve"> Energy demand per ton payload per km</t>
  </si>
  <si>
    <t>MJ/t/km</t>
  </si>
  <si>
    <t xml:space="preserve"> Capacity utilization (100 % ~ design condition)</t>
  </si>
  <si>
    <t>Main engine type (slow speed = 1, medium speed = 2)</t>
  </si>
  <si>
    <t>Engine and emission reduction technologies</t>
  </si>
  <si>
    <t xml:space="preserve"> Calorific value (MJ/kg oil)</t>
  </si>
  <si>
    <t>Froude Number (Lwl) at service speed</t>
  </si>
  <si>
    <t>TIER 1, 2 or 3 engine (If individual NOx reduction technology is selected then press 0)</t>
  </si>
  <si>
    <t>Use of scrubbers (NO = 0, YES=1)</t>
  </si>
  <si>
    <t>Derated main engine - only for 2 stroke engines (NO = 0, YES = 1)</t>
  </si>
  <si>
    <t>New lightweight</t>
  </si>
  <si>
    <t>ENGINE TYPE &amp; TECHNOLOGY</t>
  </si>
  <si>
    <t xml:space="preserve"> Particulate reduction (pct.)</t>
  </si>
  <si>
    <t xml:space="preserve"> Fuel consumption (kg/kW/hour)</t>
  </si>
  <si>
    <t xml:space="preserve"> CO emission (g/kg fuel)</t>
  </si>
  <si>
    <t xml:space="preserve"> HC emission (g/kg fuel)</t>
  </si>
  <si>
    <t xml:space="preserve"> Particulates (g/kg fuel)</t>
  </si>
  <si>
    <t xml:space="preserve"> Calorific value (MJ/kg LNG)</t>
  </si>
  <si>
    <t>Max. draught trial speed at 75 % MCR (EEDI ref. speed)</t>
  </si>
  <si>
    <t>Froude Number (Lwl) at EEDI reference speed</t>
  </si>
  <si>
    <t>Main engine</t>
  </si>
  <si>
    <t>Auxiliary engines</t>
  </si>
  <si>
    <t xml:space="preserve"> SFOC change due to engine type (pct.) derated versus normal engine</t>
  </si>
  <si>
    <t xml:space="preserve"> Extra energy demand due to scrubber (pct.)</t>
  </si>
  <si>
    <t>Total change of SFOC (pct.)</t>
  </si>
  <si>
    <t>Main engine type (2-stroke = 1, 4-stroke = 2)</t>
  </si>
  <si>
    <t xml:space="preserve"> Fuel consumption</t>
  </si>
  <si>
    <t xml:space="preserve"> Fuel consumption per hour</t>
  </si>
  <si>
    <t xml:space="preserve"> Calorific value (MJ/kg fuel)</t>
  </si>
  <si>
    <t>Sulphur content in % in heavy fuel oil (HFO)</t>
  </si>
  <si>
    <t>Sulphur content in % in diesel/gas oil (DO/GO)</t>
  </si>
  <si>
    <t>Sulphur content in heavy fuel (HFO)</t>
  </si>
  <si>
    <t>Sulphur content in diesel oil or gas oil (DO/GO)</t>
  </si>
  <si>
    <t xml:space="preserve"> NOx reduction compared to Tier 1 (pct.)</t>
  </si>
  <si>
    <t>Fuel consumption per hour (auxiliary engines)</t>
  </si>
  <si>
    <t>Fuel consumption per hour (main engine)</t>
  </si>
  <si>
    <t>Fuel optimised main engine? (0 = NO, 1 = YES)</t>
  </si>
  <si>
    <t>Minimum allowable draught according to SOLAS</t>
  </si>
  <si>
    <t>Main engine service rating (for non derated engine only)</t>
  </si>
  <si>
    <t>Fuel optimised main engine? (NO = 0, YES = 1)</t>
  </si>
  <si>
    <t>TIER 1, 2 or 3 engine? (1 - 3)</t>
  </si>
  <si>
    <t>Derated 2 stroke main engine? (NO = 0, YES = 1)</t>
  </si>
  <si>
    <t xml:space="preserve"> Extra energy demand due to NOx reducing EGR technology (pct.)</t>
  </si>
  <si>
    <t>Use of scrubbers if oil is used (NO = 0, YES=1)</t>
  </si>
  <si>
    <t>Specify NOx reduction technology: EGR (Exhaust Gas Recirculation) =1, SCR (Selective Catalyic Reduction) = 2 or other technology = 3</t>
  </si>
  <si>
    <t xml:space="preserve"> CO2 emission (g/kW/hour)</t>
  </si>
  <si>
    <t xml:space="preserve"> SO2 emission (g/kW/hour)</t>
  </si>
  <si>
    <t xml:space="preserve"> CO2 emission (g/kg fuel)</t>
  </si>
  <si>
    <t xml:space="preserve"> SO2 emission (g/kg fuel)</t>
  </si>
  <si>
    <t xml:space="preserve"> SO2 reduction (pct.)</t>
  </si>
  <si>
    <t>Dual fuel</t>
  </si>
  <si>
    <t>Diesel oil (pilot fuel) in pct.</t>
  </si>
  <si>
    <t>Gas in pct.</t>
  </si>
  <si>
    <t>Emission factors</t>
  </si>
  <si>
    <t xml:space="preserve"> Speed and power calculation - Version 2012.06.18</t>
  </si>
  <si>
    <r>
      <t>Fuel for main engine (HFO = 1, MDO/GO = 2, LNG = 3 (</t>
    </r>
    <r>
      <rPr>
        <u/>
        <sz val="10"/>
        <rFont val="Arial"/>
        <family val="2"/>
      </rPr>
      <t>only for 4 stroke</t>
    </r>
    <r>
      <rPr>
        <sz val="10"/>
        <rFont val="Arial"/>
        <family val="2"/>
      </rPr>
      <t>), Dual fuel = 4)</t>
    </r>
  </si>
  <si>
    <r>
      <t>Fuel type (HFO = 1, MD/GO = 2, LNG = 3 (</t>
    </r>
    <r>
      <rPr>
        <u/>
        <sz val="9"/>
        <rFont val="Arial"/>
        <family val="2"/>
      </rPr>
      <t>only 4 stroke</t>
    </r>
    <r>
      <rPr>
        <sz val="9"/>
        <rFont val="Arial"/>
        <family val="2"/>
      </rPr>
      <t>), Dual fuel = 4)</t>
    </r>
  </si>
  <si>
    <t>Alternative 1</t>
  </si>
  <si>
    <t>Alternative 2</t>
  </si>
  <si>
    <r>
      <t xml:space="preserve">Specify NOx reduction technology: </t>
    </r>
    <r>
      <rPr>
        <u/>
        <sz val="9"/>
        <rFont val="Arial"/>
        <family val="2"/>
      </rPr>
      <t>EGR (Exhaust Gas Recirculation) =1, SCR (Selective Catalytic Reduction) = 2 or other technology = 3</t>
    </r>
  </si>
  <si>
    <t>Elongation in percent</t>
  </si>
  <si>
    <t>Default</t>
  </si>
  <si>
    <t xml:space="preserve"> Energy demand per ton deadweight per nautical mile</t>
  </si>
  <si>
    <t xml:space="preserve"> Energy demand per nautical mile</t>
  </si>
  <si>
    <t xml:space="preserve"> Fuel consumption per ton deadweight per nautical mile</t>
  </si>
  <si>
    <t xml:space="preserve"> Fuel consumption demand per nautical mile</t>
  </si>
  <si>
    <t>Useful for comparison with transportation with truck or train</t>
  </si>
  <si>
    <r>
      <t xml:space="preserve"> CO</t>
    </r>
    <r>
      <rPr>
        <b/>
        <vertAlign val="subscript"/>
        <sz val="10"/>
        <color indexed="10"/>
        <rFont val="Arial"/>
        <family val="2"/>
      </rPr>
      <t>2</t>
    </r>
    <r>
      <rPr>
        <b/>
        <sz val="10"/>
        <color indexed="10"/>
        <rFont val="Arial"/>
        <family val="2"/>
      </rPr>
      <t xml:space="preserve"> emissions per ton payload per km</t>
    </r>
  </si>
  <si>
    <t xml:space="preserve"> Maximum deadweight</t>
  </si>
  <si>
    <t>Minimum cA correction x 1000</t>
  </si>
  <si>
    <t>27. Feb. 2013: Very small adjustment af formula in line 68 (appr. 0.3 % change in actual power in line 73)</t>
  </si>
  <si>
    <t>06. August 2013: Change of formula in line 67</t>
  </si>
  <si>
    <t>18. January 2015: Correction of formula for calculation of aux. power (cell D43 and E43)</t>
  </si>
  <si>
    <t>6S80ME-C8.2</t>
  </si>
  <si>
    <t>6S80MC-C8.2</t>
  </si>
  <si>
    <t>g/kW/hour</t>
  </si>
  <si>
    <t>Normal tuning</t>
  </si>
  <si>
    <t>Low load tuning (EGB)</t>
  </si>
  <si>
    <t>Low load tuning (VT)</t>
  </si>
  <si>
    <t>If normal tuning press 1 - if low load tuning press 2</t>
  </si>
  <si>
    <t>General improved propeller efficiency</t>
  </si>
  <si>
    <t xml:space="preserve"> Improved propeller efficiency (pct.)</t>
  </si>
  <si>
    <t>Minimum Specific Fuel Oil Consumption (SFOC) for main engine in g/kW/hour. If not specified (1) a default value will be used</t>
  </si>
  <si>
    <t>SFOC at CSR</t>
  </si>
  <si>
    <t>15. February 2015: Possibility of specification of normal loading or low loading SFOC</t>
  </si>
  <si>
    <t>15. February 2015: Possibility of specification of improved propeller efficiency</t>
  </si>
  <si>
    <t>SFOC at 75 % MCR for main engine mode (If default press 1)</t>
  </si>
  <si>
    <r>
      <t>08. May 2013: A minimum value of 1000 x C</t>
    </r>
    <r>
      <rPr>
        <vertAlign val="subscript"/>
        <sz val="10"/>
        <rFont val="Arial"/>
        <family val="2"/>
      </rPr>
      <t>A</t>
    </r>
    <r>
      <rPr>
        <sz val="10"/>
        <rFont val="Arial"/>
        <family val="2"/>
      </rPr>
      <t xml:space="preserve">  of -0.1 has been introduced </t>
    </r>
  </si>
  <si>
    <t>which results in large power for ships above 160000 DWT</t>
  </si>
  <si>
    <t>28. April 2015: Correction of error in line 39 in PAS1, PAS2 and PAS3 (propeller efficiency)</t>
  </si>
  <si>
    <t>g/t/km</t>
  </si>
  <si>
    <t>Actual freeboard</t>
  </si>
  <si>
    <t>Rule freeboard (without corrections)</t>
  </si>
  <si>
    <t>28. Feb. 2016: Check of freeboard in line 9 and 10</t>
  </si>
  <si>
    <t>Auxiliary power in habor</t>
  </si>
  <si>
    <t>Fuel consumption per hour (auxiliary engines in harbor)</t>
  </si>
  <si>
    <t xml:space="preserve"> Auxiliary power in harbor</t>
  </si>
  <si>
    <t xml:space="preserve"> Emissions and energy demand in harbor for tankers</t>
  </si>
  <si>
    <t>Fuel consumption per hour (main and auxiliary engines at sea)</t>
  </si>
  <si>
    <t>30. April 2016: Calculation of auxiliary power in harbor for calculation of enregy demand and emissions in harbor</t>
  </si>
  <si>
    <t>Lightweight coefficient</t>
  </si>
  <si>
    <t>Lightweight</t>
  </si>
  <si>
    <r>
      <t>Power take off (P</t>
    </r>
    <r>
      <rPr>
        <vertAlign val="subscript"/>
        <sz val="9"/>
        <rFont val="Arial"/>
        <family val="2"/>
      </rPr>
      <t>PTO</t>
    </r>
    <r>
      <rPr>
        <sz val="9"/>
        <rFont val="Arial"/>
        <family val="2"/>
      </rPr>
      <t>)</t>
    </r>
  </si>
  <si>
    <t xml:space="preserve"> -</t>
  </si>
  <si>
    <r>
      <t>MIN(P</t>
    </r>
    <r>
      <rPr>
        <vertAlign val="subscript"/>
        <sz val="9"/>
        <rFont val="Arial"/>
        <family val="2"/>
      </rPr>
      <t>PTO</t>
    </r>
    <r>
      <rPr>
        <sz val="9"/>
        <rFont val="Arial"/>
        <family val="2"/>
      </rPr>
      <t>, P</t>
    </r>
    <r>
      <rPr>
        <vertAlign val="subscript"/>
        <sz val="9"/>
        <rFont val="Arial"/>
        <family val="2"/>
      </rPr>
      <t>AE</t>
    </r>
    <r>
      <rPr>
        <sz val="9"/>
        <rFont val="Arial"/>
        <family val="2"/>
      </rPr>
      <t>/0.75)</t>
    </r>
  </si>
  <si>
    <t>Shaft motor power</t>
  </si>
  <si>
    <r>
      <t>Auxiliary power reduction (P</t>
    </r>
    <r>
      <rPr>
        <vertAlign val="subscript"/>
        <sz val="9"/>
        <rFont val="Arial"/>
        <family val="2"/>
      </rPr>
      <t>AEeff(i)</t>
    </r>
    <r>
      <rPr>
        <sz val="9"/>
        <rFont val="Arial"/>
        <family val="2"/>
      </rPr>
      <t>) at 75 % MCR due to WHR</t>
    </r>
  </si>
  <si>
    <t>Auxiliary power supplied by PTO</t>
  </si>
  <si>
    <t>Auxiliary power supplied by normal aux. engines</t>
  </si>
  <si>
    <t>Significant wave height</t>
  </si>
  <si>
    <t>kN</t>
  </si>
  <si>
    <t>Prop.diameter (if different from default value - otherwise press -1)</t>
  </si>
  <si>
    <t>Midship section coefficient at maximum draught</t>
  </si>
  <si>
    <t>Midship section coefficient at design draught</t>
  </si>
  <si>
    <t>Midship section coefficient at actual draught</t>
  </si>
  <si>
    <t>24. May 2017: Recalculation of midship section coefficients</t>
  </si>
  <si>
    <r>
      <t>Tanker type</t>
    </r>
    <r>
      <rPr>
        <b/>
        <sz val="12"/>
        <rFont val="Arial"/>
        <family val="2"/>
      </rPr>
      <t xml:space="preserve">: </t>
    </r>
    <r>
      <rPr>
        <sz val="9"/>
        <rFont val="Arial"/>
        <family val="2"/>
      </rPr>
      <t>Small (</t>
    </r>
    <r>
      <rPr>
        <sz val="9"/>
        <color indexed="10"/>
        <rFont val="Arial"/>
        <family val="2"/>
      </rPr>
      <t>&lt; 10000 DWT</t>
    </r>
    <r>
      <rPr>
        <sz val="9"/>
        <rFont val="Arial"/>
        <family val="2"/>
      </rPr>
      <t>) -</t>
    </r>
    <r>
      <rPr>
        <sz val="11"/>
        <rFont val="Arial"/>
        <family val="2"/>
      </rPr>
      <t xml:space="preserve"> </t>
    </r>
    <r>
      <rPr>
        <sz val="9"/>
        <rFont val="Arial"/>
        <family val="2"/>
      </rPr>
      <t>Handysize (</t>
    </r>
    <r>
      <rPr>
        <sz val="9"/>
        <color indexed="10"/>
        <rFont val="Arial"/>
        <family val="2"/>
      </rPr>
      <t>10000 - 25000 DWT</t>
    </r>
    <r>
      <rPr>
        <sz val="9"/>
        <rFont val="Arial"/>
        <family val="2"/>
      </rPr>
      <t>) -</t>
    </r>
    <r>
      <rPr>
        <b/>
        <sz val="12"/>
        <rFont val="Arial"/>
        <family val="2"/>
      </rPr>
      <t xml:space="preserve"> </t>
    </r>
    <r>
      <rPr>
        <sz val="9"/>
        <rFont val="Arial"/>
        <family val="2"/>
      </rPr>
      <t>Handymax (</t>
    </r>
    <r>
      <rPr>
        <sz val="9"/>
        <color indexed="10"/>
        <rFont val="Arial"/>
        <family val="2"/>
      </rPr>
      <t>25000 - 55000 DWT</t>
    </r>
    <r>
      <rPr>
        <sz val="9"/>
        <rFont val="Arial"/>
        <family val="2"/>
      </rPr>
      <t>) - Panamax (</t>
    </r>
    <r>
      <rPr>
        <sz val="9"/>
        <color indexed="10"/>
        <rFont val="Arial"/>
        <family val="2"/>
      </rPr>
      <t>55000 - 80000 DWT</t>
    </r>
    <r>
      <rPr>
        <sz val="9"/>
        <rFont val="Arial"/>
        <family val="2"/>
      </rPr>
      <t>) - Aframax (</t>
    </r>
    <r>
      <rPr>
        <sz val="9"/>
        <color indexed="10"/>
        <rFont val="Arial"/>
        <family val="2"/>
      </rPr>
      <t>70000 - 120000 DWT</t>
    </r>
    <r>
      <rPr>
        <sz val="9"/>
        <rFont val="Arial"/>
        <family val="2"/>
      </rPr>
      <t>) - Suezmax (</t>
    </r>
    <r>
      <rPr>
        <sz val="9"/>
        <color indexed="10"/>
        <rFont val="Arial"/>
        <family val="2"/>
      </rPr>
      <t>120000 - 200000 DWT</t>
    </r>
    <r>
      <rPr>
        <sz val="9"/>
        <rFont val="Arial"/>
        <family val="2"/>
      </rPr>
      <t xml:space="preserve">) - VLCC ( </t>
    </r>
    <r>
      <rPr>
        <sz val="9"/>
        <color indexed="10"/>
        <rFont val="Arial"/>
        <family val="2"/>
      </rPr>
      <t>200000 - 330000 DWT</t>
    </r>
    <r>
      <rPr>
        <sz val="9"/>
        <rFont val="Arial"/>
        <family val="2"/>
      </rPr>
      <t>)</t>
    </r>
  </si>
  <si>
    <t xml:space="preserve"> Design deadweight</t>
  </si>
  <si>
    <t>7. June 2017: Correction of error of power for calculation of EEDI ref. speed (cell Q22 in Sheet PT1, PT2 and PT3)</t>
  </si>
  <si>
    <t xml:space="preserve"> HC emissions</t>
  </si>
  <si>
    <t>12. June 2017: Addition of HC calculations in sheet: Emissions at sea</t>
  </si>
  <si>
    <t>Minimum main engine power (MCR) according to MEPC.262(68)</t>
  </si>
  <si>
    <t>17. June 2017: Increase of front area Ax for wind calculation by 10 %</t>
  </si>
  <si>
    <t>19. June 2017: Upper and lower bound for Tz are calculated on basis of MEPC 71/INF.29, Table 4</t>
  </si>
  <si>
    <t>18. June 2017: Update of wave module and propeller efficiency calculation for high Cth values. Also slight modifications in actual condition such that SFOC is calculated correctly.</t>
  </si>
  <si>
    <t>20. June 2017: Some errrors in the wave module have been corrected</t>
  </si>
  <si>
    <t>22. June 2017: When bad weather performance is checked auxiliary power and EEDI cannot be calculated and the in the cells affected by that no values will be calculated only "-" will be shown</t>
  </si>
  <si>
    <t>22. June 2017: Correction of speed reference in folders PAS1, PAS2 and PAS3</t>
  </si>
  <si>
    <t>Short crested wave resistance (MEPC 71/INF.29, p. 20)</t>
  </si>
  <si>
    <t>Necessary propulsion power</t>
  </si>
  <si>
    <t>22. June 2017: MCR is only calculated for service conditions with NO wave and wind specification</t>
  </si>
  <si>
    <r>
      <t>MCR - MIN(P</t>
    </r>
    <r>
      <rPr>
        <vertAlign val="subscript"/>
        <sz val="9"/>
        <rFont val="Arial"/>
        <family val="2"/>
      </rPr>
      <t>PTO</t>
    </r>
    <r>
      <rPr>
        <sz val="9"/>
        <rFont val="Arial"/>
        <family val="2"/>
      </rPr>
      <t>, P</t>
    </r>
    <r>
      <rPr>
        <vertAlign val="subscript"/>
        <sz val="9"/>
        <rFont val="Arial"/>
        <family val="2"/>
      </rPr>
      <t>AE</t>
    </r>
    <r>
      <rPr>
        <sz val="9"/>
        <rFont val="Arial"/>
        <family val="2"/>
      </rPr>
      <t>/0.75)</t>
    </r>
  </si>
  <si>
    <r>
      <t>Main engine power + P</t>
    </r>
    <r>
      <rPr>
        <vertAlign val="subscript"/>
        <sz val="9"/>
        <rFont val="Arial"/>
        <family val="2"/>
      </rPr>
      <t>PTI</t>
    </r>
    <r>
      <rPr>
        <sz val="9"/>
        <rFont val="Arial"/>
        <family val="2"/>
      </rPr>
      <t>/0.75</t>
    </r>
  </si>
  <si>
    <r>
      <t>Main engine power - MIN(P</t>
    </r>
    <r>
      <rPr>
        <vertAlign val="subscript"/>
        <sz val="9"/>
        <rFont val="Arial"/>
        <family val="2"/>
      </rPr>
      <t>PTO</t>
    </r>
    <r>
      <rPr>
        <sz val="9"/>
        <rFont val="Arial"/>
        <family val="2"/>
      </rPr>
      <t>,P</t>
    </r>
    <r>
      <rPr>
        <vertAlign val="subscript"/>
        <sz val="9"/>
        <rFont val="Arial"/>
        <family val="2"/>
      </rPr>
      <t>AE</t>
    </r>
    <r>
      <rPr>
        <sz val="9"/>
        <rFont val="Arial"/>
        <family val="2"/>
      </rPr>
      <t>/0.75) + P</t>
    </r>
    <r>
      <rPr>
        <vertAlign val="subscript"/>
        <sz val="9"/>
        <rFont val="Arial"/>
        <family val="2"/>
      </rPr>
      <t>PTI</t>
    </r>
  </si>
  <si>
    <t>28. June 2017: Corection of formula for resistance due to short crested waves</t>
  </si>
  <si>
    <t>Longitudinal wind resistance coefficient, Cx</t>
  </si>
  <si>
    <t>Wind speed to be used for wind resistance calculation</t>
  </si>
  <si>
    <t>Wind and wave resistance fraction of calm water resistance</t>
  </si>
  <si>
    <t>1. July 2017: For actual condition an individual Beaufort number can be specified, independant of IMO requirements</t>
  </si>
  <si>
    <t>1. July 2017: Update of wind resistance calculation</t>
  </si>
  <si>
    <r>
      <t xml:space="preserve"> CO</t>
    </r>
    <r>
      <rPr>
        <b/>
        <vertAlign val="subscript"/>
        <sz val="10"/>
        <color indexed="10"/>
        <rFont val="Arial"/>
        <family val="2"/>
      </rPr>
      <t>2</t>
    </r>
    <r>
      <rPr>
        <b/>
        <sz val="10"/>
        <color indexed="10"/>
        <rFont val="Arial"/>
        <family val="2"/>
      </rPr>
      <t xml:space="preserve"> emissions per ton payload per nautical mile</t>
    </r>
  </si>
  <si>
    <t>g/t/nm</t>
  </si>
  <si>
    <t>7. October 2017: Correct calculation of speed exponent in line 121</t>
  </si>
  <si>
    <t>LICENSE agreement</t>
  </si>
  <si>
    <t>Ship-Desmo-Tool is an Excel package predicting energy demand and exhaust gas emissions from ships using empirical and semi-empirical methods based only on ship type and bulk parameters.</t>
  </si>
  <si>
    <t>Copyright (C) 2017 Hans Otto Kristensen and Harry B. Bingham, Mechanical Engineering, Technical University of Denmark</t>
  </si>
  <si>
    <t>This package comes with ABSOLUTELY NO WARRANTY. This is free software and you are welcome to redistribute it under the conditions of the GNU General Public License version 3.</t>
  </si>
  <si>
    <t>Permission is hereby granted, free of charge, to any person obtaining a copy of this software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t>
  </si>
  <si>
    <t>The above copyright notice and this permission notice shall be included in all copies or substantial portions of the Software.</t>
  </si>
  <si>
    <t>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</si>
  <si>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General information</t>
  </si>
  <si>
    <t>The is the Ship-Desmo-Tool Excel package for predicting energy demand and exhaust gas emissions from ships using empirical and semi-empirical methods based only on ship type and bulk parameters. Documentation can be found in the eight reports which are included with the Excel tools. This package is the result of work carried out by Hans Otto Kristensen during the period 2011 - 2017.</t>
  </si>
  <si>
    <t>This version includes the DTU_AddedResistance_Tool developed by Harry B. Bingham, Jacob B. H. Hicks, Mads Martinsen and Christian S. Nielsen in a series of Masters Thesis projects over the period 2015-2017. Part of this work, and this release of the tool, was supported by a grant from the Danish Maritime Fund in 2016, for which we are grateful.</t>
  </si>
  <si>
    <t xml:space="preserve"> EEDI - January 2020 (&gt;4000 DWT)</t>
  </si>
  <si>
    <t xml:space="preserve"> EEDI - January 2025 (&gt;4000 DWT)</t>
  </si>
  <si>
    <t xml:space="preserve"> EEDI - January 2015 (&gt;4000 DWT)</t>
  </si>
  <si>
    <t>12. Nov. 2017: Correction of EEDI requirements for ships in the range 4000 - 20000 DWT</t>
  </si>
  <si>
    <r>
      <t xml:space="preserve">Shaft </t>
    </r>
    <r>
      <rPr>
        <u/>
        <sz val="9"/>
        <rFont val="Arial"/>
        <family val="2"/>
      </rPr>
      <t>motor</t>
    </r>
    <r>
      <rPr>
        <sz val="9"/>
        <rFont val="Arial"/>
        <family val="2"/>
      </rPr>
      <t xml:space="preserve"> efficiency for P</t>
    </r>
    <r>
      <rPr>
        <vertAlign val="subscript"/>
        <sz val="9"/>
        <rFont val="Arial"/>
        <family val="2"/>
      </rPr>
      <t>PTI</t>
    </r>
    <r>
      <rPr>
        <sz val="9"/>
        <rFont val="Arial"/>
        <family val="2"/>
      </rPr>
      <t xml:space="preserve"> calculation</t>
    </r>
  </si>
  <si>
    <r>
      <t xml:space="preserve">Shaft </t>
    </r>
    <r>
      <rPr>
        <u/>
        <sz val="9"/>
        <rFont val="Arial"/>
        <family val="2"/>
      </rPr>
      <t>generator</t>
    </r>
    <r>
      <rPr>
        <sz val="9"/>
        <rFont val="Arial"/>
        <family val="2"/>
      </rPr>
      <t xml:space="preserve"> efficiency for P</t>
    </r>
    <r>
      <rPr>
        <vertAlign val="subscript"/>
        <sz val="9"/>
        <rFont val="Arial"/>
        <family val="2"/>
      </rPr>
      <t>PTI</t>
    </r>
    <r>
      <rPr>
        <sz val="9"/>
        <rFont val="Arial"/>
        <family val="2"/>
      </rPr>
      <t xml:space="preserve"> calculation</t>
    </r>
  </si>
  <si>
    <t>19. Jan. 2018: Introduction of shaft motor efficiency in line 69 and correction of PTI formula in line 70</t>
  </si>
  <si>
    <r>
      <t>P</t>
    </r>
    <r>
      <rPr>
        <vertAlign val="subscript"/>
        <sz val="9"/>
        <rFont val="Arial"/>
        <family val="2"/>
      </rPr>
      <t xml:space="preserve">PTI </t>
    </r>
    <r>
      <rPr>
        <sz val="9"/>
        <rFont val="Arial"/>
        <family val="2"/>
      </rPr>
      <t>= 0.75 x rated shaft motor power/gen. eff. x shaft mot. eff.</t>
    </r>
  </si>
  <si>
    <t>27. Jan. 2018: Slight correction of minimum power in line 61</t>
  </si>
  <si>
    <t>27. Jan. 2018: Correction of formula for calculation of significant wave height in line 48</t>
  </si>
  <si>
    <t xml:space="preserve"> AER</t>
  </si>
  <si>
    <t>8 July 2019: Calculation of service allowance based on service speed in pct. of max. service speed in line 39 and 109</t>
  </si>
  <si>
    <t>28. November 2019: Service allowance in PS2 and PAS2 calcilated on basis of actual speed</t>
  </si>
  <si>
    <t>Hvis (Fn&lt;0.12 beregnes Cr som Cr(Fn = 0.12)</t>
  </si>
  <si>
    <t>If (Fn&lt;0.12 then Cr(Fn = 0.12)</t>
  </si>
  <si>
    <t>4. January 2020: Correction of SFOC formula in line 125 and correction of Cr calculation in sheets PAS1, PAS2 and PAS3 such that for Fn&lt;0.12 Cr is calculated as Cr(Fn=0.12)</t>
  </si>
  <si>
    <t xml:space="preserve"> Wave added resistance</t>
  </si>
  <si>
    <t xml:space="preserve"> Wind and wave resistance</t>
  </si>
  <si>
    <r>
      <t>Af (m</t>
    </r>
    <r>
      <rPr>
        <vertAlign val="superscript"/>
        <sz val="8"/>
        <rFont val="Arial"/>
        <family val="2"/>
      </rPr>
      <t>2</t>
    </r>
    <r>
      <rPr>
        <sz val="8"/>
        <rFont val="Arial"/>
        <family val="2"/>
      </rPr>
      <t>)</t>
    </r>
  </si>
  <si>
    <t xml:space="preserve"> Beaufort No.</t>
  </si>
  <si>
    <t xml:space="preserve"> Sign. wave height (m)</t>
  </si>
  <si>
    <t>Front area at max. draught</t>
  </si>
  <si>
    <t>Front area at design drauht</t>
  </si>
  <si>
    <t>Weather condition</t>
  </si>
  <si>
    <t>Wind and wave resistance fraction of total resistance</t>
  </si>
  <si>
    <t>Wind resistance</t>
  </si>
  <si>
    <t>Front area at actual drauht</t>
  </si>
  <si>
    <t>8. April 2020: Calcualtion of wave added resistance in all sheets carried out with simple formula proposed by MEPC 71</t>
  </si>
  <si>
    <t>BF</t>
  </si>
  <si>
    <t>Mads method</t>
  </si>
  <si>
    <t>IMO formula</t>
  </si>
  <si>
    <t>12 knots</t>
  </si>
  <si>
    <t>10 knots</t>
  </si>
  <si>
    <t>8 knots</t>
  </si>
  <si>
    <t>10000 DWT tanker</t>
  </si>
  <si>
    <t>14.1 knots</t>
  </si>
  <si>
    <t>6 knots</t>
  </si>
  <si>
    <t>4 knots</t>
  </si>
  <si>
    <t>45000 DWT tanker</t>
  </si>
  <si>
    <t>15 knots</t>
  </si>
  <si>
    <t>12.5 knots</t>
  </si>
  <si>
    <t xml:space="preserve"> NOx emission (g/kW/hour) - Tier 2</t>
  </si>
  <si>
    <t xml:space="preserve"> NOx emission (g/kW/hour) - Tier 3</t>
  </si>
  <si>
    <t xml:space="preserve"> NOx emission (g/kg fuel) - Tier 2</t>
  </si>
  <si>
    <t xml:space="preserve"> NOx emission (g/kg fuel) - Tier 3</t>
  </si>
  <si>
    <r>
      <t xml:space="preserve"> NOx</t>
    </r>
    <r>
      <rPr>
        <sz val="10"/>
        <rFont val="Arial"/>
        <family val="2"/>
      </rPr>
      <t xml:space="preserve"> emissions per ton payload per nautical mile</t>
    </r>
  </si>
  <si>
    <t xml:space="preserve"> Particulate emissions per ton payload per nautical mile</t>
  </si>
  <si>
    <t xml:space="preserve"> SOx emissions per ton payload per nautical mile</t>
  </si>
  <si>
    <t xml:space="preserve"> CO emissions per ton payload per nautical mile</t>
  </si>
  <si>
    <t xml:space="preserve"> NOx emission (g/kW/hour) - Actual Tier</t>
  </si>
  <si>
    <t xml:space="preserve"> NOx emission (g/kg fuel) - Actual Tier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</si>
</sst>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00"/>
    <numFmt numFmtId="166" formatCode="0.0000"/>
    <numFmt numFmtId="167" formatCode="0.000000"/>
    <numFmt numFmtId="168" formatCode="0.00000"/>
  </numFmts>
  <fonts count="72" x14ac:knownFonts="1">
    <font>
      <sz val="10"/>
      <name val="Arial"/>
    </font>
    <font>
      <sz val="10"/>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10"/>
      <name val="Calibri"/>
      <family val="2"/>
    </font>
    <font>
      <i/>
      <sz val="11"/>
      <color indexed="23"/>
      <name val="Calibri"/>
      <family val="2"/>
    </font>
    <font>
      <sz val="11"/>
      <color indexed="17"/>
      <name val="Calibri"/>
      <family val="2"/>
    </font>
    <font>
      <sz val="11"/>
      <color indexed="62"/>
      <name val="Calibri"/>
      <family val="2"/>
    </font>
    <font>
      <b/>
      <sz val="11"/>
      <color indexed="9"/>
      <name val="Calibri"/>
      <family val="2"/>
    </font>
    <font>
      <sz val="11"/>
      <color indexed="19"/>
      <name val="Calibri"/>
      <family val="2"/>
    </font>
    <font>
      <b/>
      <sz val="11"/>
      <color indexed="63"/>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1"/>
      <color indexed="8"/>
      <name val="Calibri"/>
      <family val="2"/>
    </font>
    <font>
      <sz val="11"/>
      <color indexed="20"/>
      <name val="Calibri"/>
      <family val="2"/>
    </font>
    <font>
      <sz val="10"/>
      <name val="Arial"/>
      <family val="2"/>
    </font>
    <font>
      <b/>
      <sz val="14"/>
      <name val="Arial"/>
      <family val="2"/>
    </font>
    <font>
      <b/>
      <sz val="16"/>
      <name val="Arial"/>
      <family val="2"/>
    </font>
    <font>
      <b/>
      <sz val="8"/>
      <color indexed="8"/>
      <name val="Arial"/>
      <family val="2"/>
    </font>
    <font>
      <sz val="8"/>
      <color indexed="8"/>
      <name val="Arial"/>
      <family val="2"/>
    </font>
    <font>
      <sz val="14"/>
      <name val="Arial"/>
      <family val="2"/>
    </font>
    <font>
      <sz val="16"/>
      <name val="Arial"/>
      <family val="2"/>
    </font>
    <font>
      <b/>
      <sz val="10"/>
      <name val="Arial"/>
      <family val="2"/>
    </font>
    <font>
      <sz val="8"/>
      <name val="Arial"/>
      <family val="2"/>
    </font>
    <font>
      <b/>
      <sz val="8"/>
      <name val="Arial"/>
      <family val="2"/>
    </font>
    <font>
      <sz val="7"/>
      <name val="Arial"/>
      <family val="2"/>
    </font>
    <font>
      <b/>
      <sz val="8"/>
      <name val="Arial"/>
      <family val="2"/>
    </font>
    <font>
      <b/>
      <vertAlign val="superscript"/>
      <sz val="8"/>
      <name val="Arial"/>
      <family val="2"/>
    </font>
    <font>
      <vertAlign val="superscript"/>
      <sz val="8"/>
      <name val="Arial"/>
      <family val="2"/>
    </font>
    <font>
      <b/>
      <sz val="8"/>
      <color indexed="10"/>
      <name val="Arial"/>
      <family val="2"/>
    </font>
    <font>
      <sz val="9"/>
      <color indexed="8"/>
      <name val="Arial"/>
      <family val="2"/>
    </font>
    <font>
      <b/>
      <vertAlign val="superscript"/>
      <sz val="9"/>
      <color indexed="10"/>
      <name val="Arial"/>
      <family val="2"/>
    </font>
    <font>
      <b/>
      <sz val="9"/>
      <color indexed="10"/>
      <name val="Arial"/>
      <family val="2"/>
    </font>
    <font>
      <b/>
      <vertAlign val="subscript"/>
      <sz val="9"/>
      <color indexed="10"/>
      <name val="Arial"/>
      <family val="2"/>
    </font>
    <font>
      <vertAlign val="superscript"/>
      <sz val="9"/>
      <name val="Arial"/>
      <family val="2"/>
    </font>
    <font>
      <b/>
      <sz val="9"/>
      <name val="Arial"/>
      <family val="2"/>
    </font>
    <font>
      <sz val="9"/>
      <name val="Arial"/>
      <family val="2"/>
    </font>
    <font>
      <b/>
      <sz val="20"/>
      <name val="Arial"/>
      <family val="2"/>
    </font>
    <font>
      <b/>
      <vertAlign val="subscript"/>
      <sz val="14"/>
      <name val="Arial"/>
      <family val="2"/>
    </font>
    <font>
      <vertAlign val="subscript"/>
      <sz val="10"/>
      <name val="Arial"/>
      <family val="2"/>
    </font>
    <font>
      <sz val="10"/>
      <color indexed="8"/>
      <name val="Arial"/>
      <family val="2"/>
    </font>
    <font>
      <sz val="9"/>
      <color indexed="10"/>
      <name val="Arial"/>
      <family val="2"/>
    </font>
    <font>
      <b/>
      <sz val="10"/>
      <color indexed="10"/>
      <name val="Arial"/>
      <family val="2"/>
    </font>
    <font>
      <b/>
      <sz val="12"/>
      <name val="Arial"/>
      <family val="2"/>
    </font>
    <font>
      <sz val="12"/>
      <name val="Arial"/>
      <family val="2"/>
    </font>
    <font>
      <sz val="11"/>
      <name val="Arial"/>
      <family val="2"/>
    </font>
    <font>
      <sz val="9"/>
      <name val="Arial"/>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u/>
      <sz val="9"/>
      <name val="Arial"/>
      <family val="2"/>
    </font>
    <font>
      <sz val="9"/>
      <name val="Arial"/>
      <family val="2"/>
    </font>
    <font>
      <b/>
      <sz val="11"/>
      <name val="Arial"/>
      <family val="2"/>
    </font>
    <font>
      <u/>
      <sz val="10"/>
      <name val="Arial"/>
      <family val="2"/>
    </font>
    <font>
      <sz val="8"/>
      <name val="Arial"/>
      <family val="2"/>
    </font>
    <font>
      <b/>
      <vertAlign val="subscript"/>
      <sz val="10"/>
      <color indexed="10"/>
      <name val="Arial"/>
      <family val="2"/>
    </font>
    <font>
      <b/>
      <sz val="8"/>
      <color indexed="10"/>
      <name val="Arial"/>
      <family val="2"/>
    </font>
    <font>
      <vertAlign val="subscript"/>
      <sz val="9"/>
      <name val="Arial"/>
      <family val="2"/>
    </font>
    <font>
      <sz val="10"/>
      <name val="Verdana"/>
      <family val="2"/>
    </font>
    <font>
      <sz val="9"/>
      <color indexed="8"/>
      <name val="Arial"/>
      <family val="2"/>
    </font>
    <font>
      <b/>
      <sz val="10"/>
      <color indexed="10"/>
      <name val="Arial"/>
      <family val="2"/>
    </font>
    <font>
      <sz val="8"/>
      <color indexed="10"/>
      <name val="Arial"/>
      <family val="2"/>
    </font>
    <font>
      <sz val="8"/>
      <color indexed="8"/>
      <name val="Arial"/>
      <family val="2"/>
    </font>
    <font>
      <sz val="8"/>
      <name val="Arial"/>
    </font>
    <font>
      <sz val="11"/>
      <color theme="1"/>
      <name val="Calibri"/>
      <family val="2"/>
      <scheme val="minor"/>
    </font>
  </fonts>
  <fills count="45">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9"/>
      </patternFill>
    </fill>
    <fill>
      <patternFill patternType="solid">
        <fgColor indexed="22"/>
      </patternFill>
    </fill>
    <fill>
      <patternFill patternType="solid">
        <fgColor indexed="55"/>
      </patternFill>
    </fill>
    <fill>
      <patternFill patternType="solid">
        <fgColor indexed="56"/>
      </patternFill>
    </fill>
    <fill>
      <patternFill patternType="solid">
        <fgColor indexed="54"/>
      </patternFill>
    </fill>
    <fill>
      <patternFill patternType="solid">
        <fgColor indexed="9"/>
        <bgColor indexed="64"/>
      </patternFill>
    </fill>
    <fill>
      <patternFill patternType="solid">
        <fgColor indexed="65"/>
        <bgColor indexed="64"/>
      </patternFill>
    </fill>
    <fill>
      <patternFill patternType="gray125">
        <bgColor indexed="9"/>
      </patternFill>
    </fill>
    <fill>
      <patternFill patternType="solid">
        <fgColor indexed="34"/>
        <bgColor indexed="64"/>
      </patternFill>
    </fill>
    <fill>
      <patternFill patternType="solid">
        <fgColor indexed="13"/>
        <bgColor indexed="64"/>
      </patternFill>
    </fill>
    <fill>
      <patternFill patternType="solid">
        <fgColor indexed="40"/>
        <bgColor indexed="64"/>
      </patternFill>
    </fill>
    <fill>
      <patternFill patternType="solid">
        <fgColor indexed="11"/>
        <bgColor indexed="64"/>
      </patternFill>
    </fill>
    <fill>
      <patternFill patternType="gray125">
        <fgColor indexed="9"/>
        <bgColor indexed="9"/>
      </patternFill>
    </fill>
    <fill>
      <patternFill patternType="gray125">
        <fgColor indexed="9"/>
        <bgColor indexed="34"/>
      </patternFill>
    </fill>
    <fill>
      <patternFill patternType="solid">
        <fgColor indexed="22"/>
        <bgColor indexed="64"/>
      </patternFill>
    </fill>
    <fill>
      <patternFill patternType="solid">
        <fgColor indexed="15"/>
        <bgColor indexed="64"/>
      </patternFill>
    </fill>
    <fill>
      <patternFill patternType="solid">
        <fgColor indexed="22"/>
        <bgColor indexed="31"/>
      </patternFill>
    </fill>
    <fill>
      <patternFill patternType="solid">
        <fgColor indexed="13"/>
        <bgColor indexed="31"/>
      </patternFill>
    </fill>
    <fill>
      <patternFill patternType="solid">
        <fgColor indexed="34"/>
        <bgColor indexed="31"/>
      </patternFill>
    </fill>
    <fill>
      <patternFill patternType="solid">
        <fgColor indexed="51"/>
        <bgColor indexed="64"/>
      </patternFill>
    </fill>
    <fill>
      <patternFill patternType="solid">
        <fgColor indexed="15"/>
        <bgColor indexed="31"/>
      </patternFill>
    </fill>
    <fill>
      <patternFill patternType="mediumGray">
        <fgColor indexed="55"/>
        <bgColor indexed="47"/>
      </patternFill>
    </fill>
    <fill>
      <patternFill patternType="solid">
        <fgColor indexed="9"/>
        <bgColor indexed="9"/>
      </patternFill>
    </fill>
  </fills>
  <borders count="13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style="thin">
        <color indexed="64"/>
      </left>
      <right/>
      <top/>
      <bottom/>
      <diagonal/>
    </border>
    <border>
      <left style="medium">
        <color indexed="64"/>
      </left>
      <right/>
      <top/>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diagonal/>
    </border>
    <border>
      <left/>
      <right style="double">
        <color indexed="64"/>
      </right>
      <top/>
      <bottom/>
      <diagonal/>
    </border>
    <border>
      <left/>
      <right style="medium">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double">
        <color indexed="64"/>
      </right>
      <top/>
      <bottom/>
      <diagonal/>
    </border>
    <border>
      <left/>
      <right style="thin">
        <color indexed="64"/>
      </right>
      <top style="medium">
        <color indexed="64"/>
      </top>
      <bottom/>
      <diagonal/>
    </border>
    <border>
      <left/>
      <right style="double">
        <color indexed="64"/>
      </right>
      <top style="medium">
        <color indexed="64"/>
      </top>
      <bottom/>
      <diagonal/>
    </border>
    <border>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double">
        <color indexed="64"/>
      </left>
      <right/>
      <top style="medium">
        <color indexed="64"/>
      </top>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bottom style="thick">
        <color indexed="64"/>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style="thin">
        <color indexed="64"/>
      </top>
      <bottom/>
      <diagonal/>
    </border>
    <border>
      <left style="thick">
        <color indexed="64"/>
      </left>
      <right/>
      <top style="thin">
        <color indexed="64"/>
      </top>
      <bottom style="medium">
        <color indexed="64"/>
      </bottom>
      <diagonal/>
    </border>
    <border>
      <left style="thick">
        <color indexed="64"/>
      </left>
      <right/>
      <top/>
      <bottom style="thin">
        <color indexed="64"/>
      </bottom>
      <diagonal/>
    </border>
    <border>
      <left style="thick">
        <color indexed="64"/>
      </left>
      <right/>
      <top/>
      <bottom style="thick">
        <color indexed="64"/>
      </bottom>
      <diagonal/>
    </border>
    <border>
      <left style="thick">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ck">
        <color indexed="64"/>
      </left>
      <right style="thick">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style="double">
        <color indexed="64"/>
      </bottom>
      <diagonal/>
    </border>
    <border>
      <left/>
      <right style="medium">
        <color indexed="64"/>
      </right>
      <top/>
      <bottom style="double">
        <color indexed="64"/>
      </bottom>
      <diagonal/>
    </border>
    <border>
      <left style="double">
        <color indexed="64"/>
      </left>
      <right/>
      <top/>
      <bottom style="medium">
        <color indexed="64"/>
      </bottom>
      <diagonal/>
    </border>
    <border>
      <left style="double">
        <color indexed="64"/>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medium">
        <color indexed="64"/>
      </right>
      <top/>
      <bottom style="double">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double">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diagonal/>
    </border>
    <border>
      <left style="thin">
        <color indexed="64"/>
      </left>
      <right style="thick">
        <color indexed="64"/>
      </right>
      <top style="thick">
        <color indexed="64"/>
      </top>
      <bottom/>
      <diagonal/>
    </border>
    <border>
      <left/>
      <right style="thin">
        <color indexed="64"/>
      </right>
      <top/>
      <bottom style="thin">
        <color indexed="64"/>
      </bottom>
      <diagonal/>
    </border>
    <border>
      <left style="medium">
        <color indexed="64"/>
      </left>
      <right style="thin">
        <color indexed="64"/>
      </right>
      <top style="thick">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ck">
        <color indexed="64"/>
      </bottom>
      <diagonal/>
    </border>
    <border>
      <left style="thin">
        <color indexed="64"/>
      </left>
      <right style="thin">
        <color indexed="64"/>
      </right>
      <top style="medium">
        <color indexed="64"/>
      </top>
      <bottom style="thin">
        <color indexed="64"/>
      </bottom>
      <diagonal/>
    </border>
  </borders>
  <cellStyleXfs count="83">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2" borderId="0" applyNumberFormat="0" applyBorder="0" applyAlignment="0" applyProtection="0"/>
    <xf numFmtId="0" fontId="3" fillId="13" borderId="0" applyNumberFormat="0" applyBorder="0" applyAlignment="0" applyProtection="0"/>
    <xf numFmtId="0" fontId="4" fillId="6"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15" borderId="0" applyNumberFormat="0" applyBorder="0" applyAlignment="0" applyProtection="0"/>
    <xf numFmtId="0" fontId="4" fillId="3"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4" borderId="0" applyNumberFormat="0" applyBorder="0" applyAlignment="0" applyProtection="0"/>
    <xf numFmtId="0" fontId="5" fillId="0" borderId="0" applyNumberFormat="0" applyFill="0" applyBorder="0" applyAlignment="0" applyProtection="0"/>
    <xf numFmtId="0" fontId="18" fillId="8" borderId="0" applyNumberFormat="0" applyBorder="0" applyAlignment="0" applyProtection="0"/>
    <xf numFmtId="0" fontId="1" fillId="4" borderId="1" applyNumberFormat="0" applyFont="0" applyAlignment="0" applyProtection="0"/>
    <xf numFmtId="0" fontId="6" fillId="22" borderId="2" applyNumberFormat="0" applyAlignment="0" applyProtection="0"/>
    <xf numFmtId="0" fontId="51" fillId="23" borderId="2" applyNumberFormat="0" applyAlignment="0" applyProtection="0"/>
    <xf numFmtId="0" fontId="10" fillId="24" borderId="3" applyNumberFormat="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6" borderId="0" applyNumberFormat="0" applyBorder="0" applyAlignment="0" applyProtection="0"/>
    <xf numFmtId="0" fontId="8" fillId="9" borderId="0" applyNumberFormat="0" applyBorder="0" applyAlignment="0" applyProtection="0"/>
    <xf numFmtId="0" fontId="52" fillId="0" borderId="4" applyNumberFormat="0" applyFill="0" applyAlignment="0" applyProtection="0"/>
    <xf numFmtId="0" fontId="53" fillId="0" borderId="5" applyNumberFormat="0" applyFill="0" applyAlignment="0" applyProtection="0"/>
    <xf numFmtId="0" fontId="54" fillId="0" borderId="6" applyNumberFormat="0" applyFill="0" applyAlignment="0" applyProtection="0"/>
    <xf numFmtId="0" fontId="54" fillId="0" borderId="0" applyNumberFormat="0" applyFill="0" applyBorder="0" applyAlignment="0" applyProtection="0"/>
    <xf numFmtId="0" fontId="9" fillId="11" borderId="2" applyNumberFormat="0" applyAlignment="0" applyProtection="0"/>
    <xf numFmtId="0" fontId="10" fillId="24" borderId="3" applyNumberFormat="0" applyAlignment="0" applyProtection="0"/>
    <xf numFmtId="0" fontId="55" fillId="0" borderId="7" applyNumberFormat="0" applyFill="0" applyAlignment="0" applyProtection="0"/>
    <xf numFmtId="0" fontId="4" fillId="25"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2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11" fillId="11" borderId="0" applyNumberFormat="0" applyBorder="0" applyAlignment="0" applyProtection="0"/>
    <xf numFmtId="0" fontId="1" fillId="0" borderId="0"/>
    <xf numFmtId="0" fontId="65" fillId="0" borderId="0"/>
    <xf numFmtId="0" fontId="71" fillId="0" borderId="0"/>
    <xf numFmtId="0" fontId="71" fillId="0" borderId="0"/>
    <xf numFmtId="0" fontId="19" fillId="4" borderId="1" applyNumberFormat="0" applyFont="0" applyAlignment="0" applyProtection="0"/>
    <xf numFmtId="0" fontId="12" fillId="22" borderId="8" applyNumberFormat="0" applyAlignment="0" applyProtection="0"/>
    <xf numFmtId="0" fontId="13" fillId="0" borderId="9" applyNumberFormat="0" applyFill="0" applyAlignment="0" applyProtection="0"/>
    <xf numFmtId="0" fontId="14" fillId="0" borderId="10" applyNumberFormat="0" applyFill="0" applyAlignment="0" applyProtection="0"/>
    <xf numFmtId="0" fontId="15" fillId="0" borderId="11" applyNumberFormat="0" applyFill="0" applyAlignment="0" applyProtection="0"/>
    <xf numFmtId="0" fontId="15" fillId="0" borderId="0" applyNumberFormat="0" applyFill="0" applyBorder="0" applyAlignment="0" applyProtection="0"/>
    <xf numFmtId="0" fontId="5" fillId="0" borderId="12" applyNumberFormat="0" applyFill="0" applyAlignment="0" applyProtection="0"/>
    <xf numFmtId="0" fontId="16" fillId="0" borderId="0" applyNumberFormat="0" applyFill="0" applyBorder="0" applyAlignment="0" applyProtection="0"/>
    <xf numFmtId="0" fontId="56" fillId="0" borderId="0" applyNumberFormat="0" applyFill="0" applyBorder="0" applyAlignment="0" applyProtection="0"/>
    <xf numFmtId="0" fontId="17" fillId="0" borderId="13" applyNumberFormat="0" applyFill="0" applyAlignment="0" applyProtection="0"/>
    <xf numFmtId="0" fontId="18" fillId="10" borderId="0" applyNumberFormat="0" applyBorder="0" applyAlignment="0" applyProtection="0"/>
    <xf numFmtId="0" fontId="5" fillId="0" borderId="0" applyNumberFormat="0" applyFill="0" applyBorder="0" applyAlignment="0" applyProtection="0"/>
  </cellStyleXfs>
  <cellXfs count="983">
    <xf numFmtId="0" fontId="0" fillId="0" borderId="0" xfId="0"/>
    <xf numFmtId="0" fontId="0" fillId="0" borderId="0" xfId="0" applyAlignment="1">
      <alignment horizontal="center"/>
    </xf>
    <xf numFmtId="2" fontId="0" fillId="0" borderId="0" xfId="0" applyNumberFormat="1" applyAlignment="1">
      <alignment horizontal="center"/>
    </xf>
    <xf numFmtId="164" fontId="0" fillId="0" borderId="0" xfId="0" applyNumberFormat="1" applyAlignment="1">
      <alignment horizontal="center"/>
    </xf>
    <xf numFmtId="0" fontId="21" fillId="27" borderId="14" xfId="0" applyFont="1" applyFill="1" applyBorder="1" applyProtection="1"/>
    <xf numFmtId="0" fontId="24" fillId="27" borderId="0" xfId="0" applyFont="1" applyFill="1" applyProtection="1"/>
    <xf numFmtId="0" fontId="20" fillId="27" borderId="15" xfId="0" applyFont="1" applyFill="1" applyBorder="1" applyProtection="1"/>
    <xf numFmtId="0" fontId="24" fillId="27" borderId="0" xfId="0" applyFont="1" applyFill="1" applyBorder="1" applyProtection="1"/>
    <xf numFmtId="0" fontId="0" fillId="27" borderId="0" xfId="0" applyFill="1" applyProtection="1"/>
    <xf numFmtId="0" fontId="25" fillId="27" borderId="0" xfId="0" applyFont="1" applyFill="1" applyProtection="1"/>
    <xf numFmtId="0" fontId="26" fillId="1" borderId="16" xfId="0" applyFont="1" applyFill="1" applyBorder="1" applyProtection="1"/>
    <xf numFmtId="0" fontId="27" fillId="1" borderId="16" xfId="0" applyFont="1" applyFill="1" applyBorder="1" applyProtection="1"/>
    <xf numFmtId="0" fontId="28" fillId="1" borderId="16" xfId="0" applyFont="1" applyFill="1" applyBorder="1" applyProtection="1"/>
    <xf numFmtId="0" fontId="29" fillId="28" borderId="17" xfId="0" applyFont="1" applyFill="1" applyBorder="1" applyAlignment="1" applyProtection="1">
      <alignment horizontal="center"/>
    </xf>
    <xf numFmtId="0" fontId="29" fillId="1" borderId="18" xfId="0" applyFont="1" applyFill="1" applyBorder="1" applyProtection="1"/>
    <xf numFmtId="0" fontId="27" fillId="0" borderId="19" xfId="0" applyFont="1" applyBorder="1" applyProtection="1"/>
    <xf numFmtId="0" fontId="27" fillId="0" borderId="20" xfId="0" applyFont="1" applyBorder="1" applyAlignment="1" applyProtection="1">
      <alignment horizontal="center"/>
    </xf>
    <xf numFmtId="165" fontId="27" fillId="0" borderId="21" xfId="0" applyNumberFormat="1" applyFont="1" applyBorder="1" applyAlignment="1" applyProtection="1">
      <alignment horizontal="center"/>
    </xf>
    <xf numFmtId="0" fontId="27" fillId="0" borderId="0" xfId="0" applyFont="1" applyBorder="1" applyProtection="1"/>
    <xf numFmtId="165" fontId="27" fillId="0" borderId="22" xfId="0" applyNumberFormat="1" applyFont="1" applyBorder="1" applyAlignment="1" applyProtection="1">
      <alignment horizontal="center"/>
    </xf>
    <xf numFmtId="2" fontId="27" fillId="0" borderId="21" xfId="0" applyNumberFormat="1" applyFont="1" applyBorder="1" applyAlignment="1" applyProtection="1">
      <alignment horizontal="center"/>
    </xf>
    <xf numFmtId="165" fontId="27" fillId="0" borderId="23" xfId="0" applyNumberFormat="1" applyFont="1" applyBorder="1" applyAlignment="1" applyProtection="1">
      <alignment horizontal="center"/>
    </xf>
    <xf numFmtId="0" fontId="0" fillId="0" borderId="0" xfId="0" applyProtection="1"/>
    <xf numFmtId="165" fontId="27" fillId="0" borderId="24" xfId="0" applyNumberFormat="1" applyFont="1" applyBorder="1" applyAlignment="1" applyProtection="1">
      <alignment horizontal="center"/>
    </xf>
    <xf numFmtId="1" fontId="27" fillId="0" borderId="21" xfId="0" applyNumberFormat="1" applyFont="1" applyBorder="1" applyAlignment="1" applyProtection="1">
      <alignment horizontal="center"/>
    </xf>
    <xf numFmtId="165" fontId="27" fillId="0" borderId="25" xfId="0" applyNumberFormat="1" applyFont="1" applyBorder="1" applyAlignment="1" applyProtection="1">
      <alignment horizontal="center"/>
    </xf>
    <xf numFmtId="0" fontId="27" fillId="0" borderId="21" xfId="0" applyFont="1" applyBorder="1" applyAlignment="1" applyProtection="1">
      <alignment horizontal="center"/>
    </xf>
    <xf numFmtId="0" fontId="26" fillId="29" borderId="26" xfId="0" applyFont="1" applyFill="1" applyBorder="1" applyProtection="1"/>
    <xf numFmtId="0" fontId="27" fillId="29" borderId="26" xfId="0" applyFont="1" applyFill="1" applyBorder="1" applyProtection="1"/>
    <xf numFmtId="0" fontId="27" fillId="29" borderId="27" xfId="0" applyFont="1" applyFill="1" applyBorder="1" applyAlignment="1" applyProtection="1">
      <alignment horizontal="center"/>
    </xf>
    <xf numFmtId="0" fontId="27" fillId="0" borderId="26" xfId="0" applyFont="1" applyBorder="1" applyProtection="1"/>
    <xf numFmtId="165" fontId="27" fillId="0" borderId="28" xfId="0" applyNumberFormat="1" applyFont="1" applyBorder="1" applyAlignment="1" applyProtection="1">
      <alignment horizontal="center"/>
    </xf>
    <xf numFmtId="0" fontId="27" fillId="0" borderId="24" xfId="0" applyFont="1" applyBorder="1" applyAlignment="1" applyProtection="1">
      <alignment horizontal="center"/>
    </xf>
    <xf numFmtId="0" fontId="27" fillId="0" borderId="29" xfId="0" applyFont="1" applyBorder="1" applyProtection="1"/>
    <xf numFmtId="0" fontId="27" fillId="0" borderId="25" xfId="0" applyFont="1" applyBorder="1" applyAlignment="1" applyProtection="1">
      <alignment horizontal="center"/>
    </xf>
    <xf numFmtId="0" fontId="27" fillId="0" borderId="0" xfId="0" applyFont="1" applyProtection="1"/>
    <xf numFmtId="164" fontId="27" fillId="0" borderId="21" xfId="0" applyNumberFormat="1" applyFont="1" applyBorder="1" applyAlignment="1" applyProtection="1">
      <alignment horizontal="center"/>
    </xf>
    <xf numFmtId="0" fontId="27" fillId="0" borderId="30" xfId="0" applyFont="1" applyBorder="1" applyAlignment="1" applyProtection="1">
      <alignment horizontal="center"/>
    </xf>
    <xf numFmtId="0" fontId="27" fillId="1" borderId="16" xfId="0" applyFont="1" applyFill="1" applyBorder="1" applyAlignment="1" applyProtection="1">
      <alignment horizontal="center"/>
    </xf>
    <xf numFmtId="0" fontId="27" fillId="0" borderId="31" xfId="0" applyFont="1" applyBorder="1" applyProtection="1"/>
    <xf numFmtId="0" fontId="27" fillId="0" borderId="32" xfId="0" applyFont="1" applyBorder="1" applyAlignment="1" applyProtection="1">
      <alignment horizontal="center"/>
    </xf>
    <xf numFmtId="164" fontId="28" fillId="0" borderId="33" xfId="0" applyNumberFormat="1" applyFont="1" applyBorder="1" applyAlignment="1" applyProtection="1">
      <alignment horizontal="center"/>
    </xf>
    <xf numFmtId="165" fontId="27" fillId="0" borderId="0" xfId="0" applyNumberFormat="1" applyFont="1" applyAlignment="1" applyProtection="1">
      <alignment horizontal="center"/>
    </xf>
    <xf numFmtId="1" fontId="27" fillId="0" borderId="0" xfId="0" applyNumberFormat="1" applyFont="1" applyAlignment="1" applyProtection="1">
      <alignment horizontal="center"/>
    </xf>
    <xf numFmtId="1" fontId="27" fillId="0" borderId="0" xfId="0" applyNumberFormat="1" applyFont="1" applyAlignment="1" applyProtection="1">
      <alignment horizontal="center"/>
      <protection locked="0"/>
    </xf>
    <xf numFmtId="164" fontId="28" fillId="0" borderId="0" xfId="0" applyNumberFormat="1" applyFont="1" applyAlignment="1" applyProtection="1">
      <alignment horizontal="center"/>
    </xf>
    <xf numFmtId="1" fontId="28" fillId="0" borderId="0" xfId="0" applyNumberFormat="1" applyFont="1" applyAlignment="1" applyProtection="1">
      <alignment horizontal="center"/>
    </xf>
    <xf numFmtId="2" fontId="27" fillId="0" borderId="0" xfId="0" applyNumberFormat="1" applyFont="1" applyAlignment="1" applyProtection="1">
      <alignment horizontal="center"/>
    </xf>
    <xf numFmtId="0" fontId="19" fillId="0" borderId="30" xfId="0" applyFont="1" applyBorder="1" applyAlignment="1" applyProtection="1">
      <alignment horizontal="center"/>
    </xf>
    <xf numFmtId="166" fontId="27" fillId="0" borderId="0" xfId="0" applyNumberFormat="1" applyFont="1" applyAlignment="1" applyProtection="1">
      <alignment horizontal="center"/>
    </xf>
    <xf numFmtId="0" fontId="27" fillId="0" borderId="33" xfId="0" applyFont="1" applyBorder="1" applyProtection="1"/>
    <xf numFmtId="0" fontId="27" fillId="0" borderId="34" xfId="0" applyFont="1" applyBorder="1" applyAlignment="1" applyProtection="1">
      <alignment horizontal="center"/>
    </xf>
    <xf numFmtId="2" fontId="27" fillId="0" borderId="33" xfId="0" applyNumberFormat="1" applyFont="1" applyBorder="1" applyAlignment="1" applyProtection="1">
      <alignment horizontal="center"/>
    </xf>
    <xf numFmtId="0" fontId="27" fillId="0" borderId="0" xfId="0" applyFont="1" applyAlignment="1" applyProtection="1">
      <alignment horizontal="center"/>
    </xf>
    <xf numFmtId="165" fontId="27" fillId="0" borderId="33" xfId="0" applyNumberFormat="1" applyFont="1" applyBorder="1" applyAlignment="1" applyProtection="1">
      <alignment horizontal="center"/>
    </xf>
    <xf numFmtId="0" fontId="27" fillId="0" borderId="33" xfId="0" applyFont="1" applyBorder="1" applyAlignment="1" applyProtection="1">
      <alignment horizontal="center"/>
    </xf>
    <xf numFmtId="165" fontId="28" fillId="0" borderId="0" xfId="0" applyNumberFormat="1" applyFont="1" applyAlignment="1" applyProtection="1">
      <alignment horizontal="center"/>
    </xf>
    <xf numFmtId="165" fontId="28" fillId="0" borderId="33" xfId="0" applyNumberFormat="1" applyFont="1" applyBorder="1" applyAlignment="1" applyProtection="1">
      <alignment horizontal="center"/>
    </xf>
    <xf numFmtId="0" fontId="28" fillId="0" borderId="0" xfId="0" applyFont="1" applyBorder="1" applyAlignment="1" applyProtection="1">
      <alignment horizontal="center"/>
    </xf>
    <xf numFmtId="0" fontId="28" fillId="0" borderId="0" xfId="0" applyFont="1" applyAlignment="1" applyProtection="1">
      <alignment horizontal="center"/>
    </xf>
    <xf numFmtId="0" fontId="0" fillId="1" borderId="35" xfId="0" applyFill="1" applyBorder="1"/>
    <xf numFmtId="0" fontId="27" fillId="30" borderId="36" xfId="0" applyFont="1" applyFill="1" applyBorder="1" applyAlignment="1" applyProtection="1">
      <alignment horizontal="center"/>
      <protection locked="0"/>
    </xf>
    <xf numFmtId="0" fontId="27" fillId="0" borderId="37" xfId="0" applyFont="1" applyBorder="1" applyProtection="1">
      <protection hidden="1"/>
    </xf>
    <xf numFmtId="0" fontId="27" fillId="27" borderId="26" xfId="0" applyFont="1" applyFill="1" applyBorder="1" applyProtection="1">
      <protection hidden="1"/>
    </xf>
    <xf numFmtId="0" fontId="27" fillId="27" borderId="27" xfId="0" applyFont="1" applyFill="1" applyBorder="1" applyProtection="1">
      <protection hidden="1"/>
    </xf>
    <xf numFmtId="0" fontId="28" fillId="0" borderId="38" xfId="0" applyFont="1" applyBorder="1" applyProtection="1">
      <protection hidden="1"/>
    </xf>
    <xf numFmtId="0" fontId="27" fillId="0" borderId="38" xfId="0" applyFont="1" applyBorder="1" applyProtection="1">
      <protection hidden="1"/>
    </xf>
    <xf numFmtId="165" fontId="2" fillId="0" borderId="0" xfId="0" applyNumberFormat="1" applyFont="1" applyAlignment="1" applyProtection="1">
      <alignment horizontal="center"/>
    </xf>
    <xf numFmtId="1" fontId="28" fillId="0" borderId="39" xfId="0" applyNumberFormat="1" applyFont="1" applyBorder="1" applyAlignment="1" applyProtection="1">
      <alignment horizontal="center"/>
    </xf>
    <xf numFmtId="2" fontId="28" fillId="0" borderId="39" xfId="0" applyNumberFormat="1" applyFont="1" applyBorder="1" applyAlignment="1" applyProtection="1">
      <alignment horizontal="center"/>
    </xf>
    <xf numFmtId="165" fontId="27" fillId="30" borderId="14" xfId="0" applyNumberFormat="1" applyFont="1" applyFill="1" applyBorder="1" applyAlignment="1" applyProtection="1">
      <alignment horizontal="center"/>
    </xf>
    <xf numFmtId="165" fontId="27" fillId="30" borderId="23" xfId="0" applyNumberFormat="1" applyFont="1" applyFill="1" applyBorder="1" applyAlignment="1" applyProtection="1">
      <alignment horizontal="center"/>
    </xf>
    <xf numFmtId="2" fontId="27" fillId="0" borderId="40" xfId="0" applyNumberFormat="1" applyFont="1" applyBorder="1" applyAlignment="1" applyProtection="1">
      <alignment horizontal="center"/>
    </xf>
    <xf numFmtId="0" fontId="28" fillId="31" borderId="0" xfId="0" applyFont="1" applyFill="1" applyAlignment="1" applyProtection="1">
      <alignment horizontal="center"/>
    </xf>
    <xf numFmtId="2" fontId="28" fillId="31" borderId="0" xfId="0" applyNumberFormat="1" applyFont="1" applyFill="1" applyAlignment="1" applyProtection="1">
      <alignment horizontal="center"/>
    </xf>
    <xf numFmtId="0" fontId="2" fillId="31" borderId="0" xfId="0" applyFont="1" applyFill="1" applyAlignment="1" applyProtection="1">
      <alignment horizontal="center"/>
    </xf>
    <xf numFmtId="165" fontId="27" fillId="31" borderId="0" xfId="0" applyNumberFormat="1" applyFont="1" applyFill="1" applyAlignment="1" applyProtection="1">
      <alignment horizontal="center"/>
    </xf>
    <xf numFmtId="2" fontId="27" fillId="31" borderId="0" xfId="0" applyNumberFormat="1" applyFont="1" applyFill="1" applyAlignment="1" applyProtection="1">
      <alignment horizontal="center"/>
    </xf>
    <xf numFmtId="0" fontId="27" fillId="1" borderId="0" xfId="0" applyFont="1" applyFill="1" applyBorder="1" applyProtection="1"/>
    <xf numFmtId="0" fontId="0" fillId="1" borderId="0" xfId="0" applyFill="1" applyBorder="1"/>
    <xf numFmtId="0" fontId="21" fillId="0" borderId="0" xfId="0" applyFont="1" applyProtection="1">
      <protection locked="0"/>
    </xf>
    <xf numFmtId="0" fontId="33" fillId="0" borderId="19" xfId="0" applyFont="1" applyBorder="1" applyProtection="1"/>
    <xf numFmtId="0" fontId="2" fillId="32" borderId="0" xfId="0" applyFont="1" applyFill="1" applyAlignment="1" applyProtection="1">
      <alignment horizontal="center"/>
    </xf>
    <xf numFmtId="0" fontId="28" fillId="32" borderId="0" xfId="0" applyFont="1" applyFill="1" applyAlignment="1" applyProtection="1">
      <alignment horizontal="center"/>
    </xf>
    <xf numFmtId="2" fontId="27" fillId="32" borderId="0" xfId="0" applyNumberFormat="1" applyFont="1" applyFill="1" applyAlignment="1" applyProtection="1">
      <alignment horizontal="center"/>
    </xf>
    <xf numFmtId="164" fontId="28" fillId="33" borderId="41" xfId="0" applyNumberFormat="1" applyFont="1" applyFill="1" applyBorder="1" applyAlignment="1" applyProtection="1">
      <alignment horizontal="center"/>
    </xf>
    <xf numFmtId="164" fontId="28" fillId="33" borderId="33" xfId="0" applyNumberFormat="1" applyFont="1" applyFill="1" applyBorder="1" applyAlignment="1" applyProtection="1">
      <alignment horizontal="center"/>
    </xf>
    <xf numFmtId="165" fontId="27" fillId="33" borderId="42" xfId="0" applyNumberFormat="1" applyFont="1" applyFill="1" applyBorder="1" applyAlignment="1" applyProtection="1">
      <alignment horizontal="center"/>
    </xf>
    <xf numFmtId="165" fontId="27" fillId="33" borderId="0" xfId="0" applyNumberFormat="1" applyFont="1" applyFill="1" applyAlignment="1" applyProtection="1">
      <alignment horizontal="center"/>
    </xf>
    <xf numFmtId="1" fontId="27" fillId="33" borderId="0" xfId="0" applyNumberFormat="1" applyFont="1" applyFill="1" applyAlignment="1" applyProtection="1">
      <alignment horizontal="center"/>
    </xf>
    <xf numFmtId="1" fontId="27" fillId="33" borderId="0" xfId="0" applyNumberFormat="1" applyFont="1" applyFill="1" applyAlignment="1" applyProtection="1">
      <alignment horizontal="center"/>
      <protection locked="0"/>
    </xf>
    <xf numFmtId="164" fontId="28" fillId="33" borderId="0" xfId="0" applyNumberFormat="1" applyFont="1" applyFill="1" applyAlignment="1" applyProtection="1">
      <alignment horizontal="center"/>
    </xf>
    <xf numFmtId="1" fontId="28" fillId="33" borderId="0" xfId="0" applyNumberFormat="1" applyFont="1" applyFill="1" applyAlignment="1" applyProtection="1">
      <alignment horizontal="center"/>
    </xf>
    <xf numFmtId="2" fontId="27" fillId="33" borderId="0" xfId="0" applyNumberFormat="1" applyFont="1" applyFill="1" applyAlignment="1" applyProtection="1">
      <alignment horizontal="center"/>
    </xf>
    <xf numFmtId="2" fontId="27" fillId="33" borderId="33" xfId="0" applyNumberFormat="1" applyFont="1" applyFill="1" applyBorder="1" applyAlignment="1" applyProtection="1">
      <alignment horizontal="center"/>
    </xf>
    <xf numFmtId="0" fontId="28" fillId="34" borderId="36" xfId="0" applyFont="1" applyFill="1" applyBorder="1" applyProtection="1">
      <protection hidden="1"/>
    </xf>
    <xf numFmtId="0" fontId="27" fillId="34" borderId="36" xfId="0" applyFont="1" applyFill="1" applyBorder="1" applyProtection="1">
      <protection hidden="1"/>
    </xf>
    <xf numFmtId="164" fontId="28" fillId="35" borderId="43" xfId="0" applyNumberFormat="1" applyFont="1" applyFill="1" applyBorder="1" applyAlignment="1" applyProtection="1">
      <alignment horizontal="center"/>
      <protection locked="0"/>
    </xf>
    <xf numFmtId="0" fontId="0" fillId="1" borderId="16" xfId="0" applyFill="1" applyBorder="1"/>
    <xf numFmtId="9" fontId="33" fillId="27" borderId="44" xfId="0" applyNumberFormat="1" applyFont="1" applyFill="1" applyBorder="1" applyAlignment="1" applyProtection="1">
      <alignment horizontal="right"/>
    </xf>
    <xf numFmtId="0" fontId="33" fillId="27" borderId="38" xfId="0" applyFont="1" applyFill="1" applyBorder="1" applyProtection="1"/>
    <xf numFmtId="0" fontId="0" fillId="1" borderId="45" xfId="0" applyFill="1" applyBorder="1"/>
    <xf numFmtId="0" fontId="0" fillId="1" borderId="19" xfId="0" applyFill="1" applyBorder="1"/>
    <xf numFmtId="0" fontId="0" fillId="1" borderId="15" xfId="0" applyFill="1" applyBorder="1"/>
    <xf numFmtId="0" fontId="33" fillId="1" borderId="15" xfId="0" applyFont="1" applyFill="1" applyBorder="1" applyAlignment="1">
      <alignment horizontal="center"/>
    </xf>
    <xf numFmtId="2" fontId="33" fillId="1" borderId="0" xfId="0" applyNumberFormat="1" applyFont="1" applyFill="1" applyBorder="1" applyAlignment="1">
      <alignment horizontal="center"/>
    </xf>
    <xf numFmtId="0" fontId="28" fillId="1" borderId="15" xfId="0" applyFont="1" applyFill="1" applyBorder="1" applyProtection="1"/>
    <xf numFmtId="0" fontId="28" fillId="1" borderId="0" xfId="0" applyFont="1" applyFill="1" applyProtection="1"/>
    <xf numFmtId="0" fontId="0" fillId="1" borderId="0" xfId="0" applyFill="1" applyProtection="1"/>
    <xf numFmtId="0" fontId="30" fillId="1" borderId="0" xfId="0" applyFont="1" applyFill="1" applyProtection="1"/>
    <xf numFmtId="0" fontId="0" fillId="1" borderId="0" xfId="0" applyFill="1"/>
    <xf numFmtId="0" fontId="27" fillId="1" borderId="0" xfId="0" applyFont="1" applyFill="1" applyProtection="1"/>
    <xf numFmtId="0" fontId="27" fillId="1" borderId="0" xfId="0" applyFont="1" applyFill="1" applyProtection="1">
      <protection locked="0"/>
    </xf>
    <xf numFmtId="0" fontId="33" fillId="1" borderId="0" xfId="0" applyFont="1" applyFill="1" applyAlignment="1" applyProtection="1">
      <alignment horizontal="left"/>
      <protection locked="0"/>
    </xf>
    <xf numFmtId="1" fontId="27" fillId="30" borderId="36" xfId="0" applyNumberFormat="1" applyFont="1" applyFill="1" applyBorder="1" applyAlignment="1" applyProtection="1">
      <alignment horizontal="center"/>
      <protection locked="0"/>
    </xf>
    <xf numFmtId="1" fontId="33" fillId="33" borderId="0" xfId="0" applyNumberFormat="1" applyFont="1" applyFill="1" applyAlignment="1" applyProtection="1">
      <alignment horizontal="center"/>
    </xf>
    <xf numFmtId="1" fontId="33" fillId="0" borderId="0" xfId="0" applyNumberFormat="1" applyFont="1" applyAlignment="1" applyProtection="1">
      <alignment horizontal="center"/>
    </xf>
    <xf numFmtId="0" fontId="33" fillId="0" borderId="20" xfId="0" applyFont="1" applyBorder="1" applyAlignment="1" applyProtection="1">
      <alignment horizontal="center"/>
    </xf>
    <xf numFmtId="165" fontId="23" fillId="36" borderId="0" xfId="0" applyNumberFormat="1" applyFont="1" applyFill="1" applyAlignment="1" applyProtection="1">
      <alignment horizontal="center"/>
    </xf>
    <xf numFmtId="1" fontId="23" fillId="36" borderId="0" xfId="0" applyNumberFormat="1" applyFont="1" applyFill="1" applyAlignment="1" applyProtection="1">
      <alignment horizontal="center"/>
    </xf>
    <xf numFmtId="1" fontId="23" fillId="36" borderId="0" xfId="0" applyNumberFormat="1" applyFont="1" applyFill="1" applyAlignment="1" applyProtection="1">
      <alignment horizontal="center"/>
      <protection locked="0"/>
    </xf>
    <xf numFmtId="164" fontId="22" fillId="36" borderId="0" xfId="0" applyNumberFormat="1" applyFont="1" applyFill="1" applyAlignment="1" applyProtection="1">
      <alignment horizontal="center"/>
    </xf>
    <xf numFmtId="1" fontId="22" fillId="36" borderId="0" xfId="0" applyNumberFormat="1" applyFont="1" applyFill="1" applyAlignment="1" applyProtection="1">
      <alignment horizontal="center"/>
    </xf>
    <xf numFmtId="2" fontId="23" fillId="36" borderId="0" xfId="0" applyNumberFormat="1" applyFont="1" applyFill="1" applyAlignment="1" applyProtection="1">
      <alignment horizontal="center"/>
    </xf>
    <xf numFmtId="0" fontId="2" fillId="33" borderId="46" xfId="0" applyFont="1" applyFill="1" applyBorder="1" applyAlignment="1">
      <alignment horizontal="center"/>
    </xf>
    <xf numFmtId="1" fontId="2" fillId="33" borderId="47" xfId="0" applyNumberFormat="1" applyFont="1" applyFill="1" applyBorder="1" applyAlignment="1">
      <alignment horizontal="center"/>
    </xf>
    <xf numFmtId="164" fontId="2" fillId="33" borderId="48" xfId="0" applyNumberFormat="1" applyFont="1" applyFill="1" applyBorder="1" applyAlignment="1">
      <alignment horizontal="center"/>
    </xf>
    <xf numFmtId="1" fontId="2" fillId="0" borderId="49" xfId="0" applyNumberFormat="1" applyFont="1" applyBorder="1" applyAlignment="1">
      <alignment horizontal="center"/>
    </xf>
    <xf numFmtId="0" fontId="2" fillId="0" borderId="22" xfId="0" applyFont="1" applyBorder="1" applyAlignment="1">
      <alignment horizontal="center"/>
    </xf>
    <xf numFmtId="1" fontId="2" fillId="0" borderId="50" xfId="0" applyNumberFormat="1" applyFont="1" applyBorder="1" applyAlignment="1">
      <alignment horizontal="center"/>
    </xf>
    <xf numFmtId="1" fontId="2" fillId="0" borderId="51" xfId="0" applyNumberFormat="1" applyFont="1" applyBorder="1" applyAlignment="1">
      <alignment horizontal="center"/>
    </xf>
    <xf numFmtId="0" fontId="2" fillId="0" borderId="52" xfId="0" applyFont="1" applyBorder="1" applyAlignment="1">
      <alignment horizontal="center"/>
    </xf>
    <xf numFmtId="1" fontId="2" fillId="0" borderId="53" xfId="0" applyNumberFormat="1" applyFont="1" applyBorder="1" applyAlignment="1">
      <alignment horizontal="center"/>
    </xf>
    <xf numFmtId="0" fontId="26" fillId="1" borderId="0" xfId="0" applyFont="1" applyFill="1" applyAlignment="1" applyProtection="1">
      <alignment horizontal="right"/>
      <protection locked="0"/>
    </xf>
    <xf numFmtId="0" fontId="26" fillId="1" borderId="0" xfId="0" applyFont="1" applyFill="1" applyBorder="1" applyAlignment="1" applyProtection="1">
      <alignment horizontal="left"/>
      <protection locked="0"/>
    </xf>
    <xf numFmtId="165" fontId="27" fillId="0" borderId="0" xfId="0" applyNumberFormat="1" applyFont="1" applyFill="1" applyAlignment="1" applyProtection="1">
      <alignment horizontal="center"/>
    </xf>
    <xf numFmtId="165" fontId="27" fillId="36" borderId="0" xfId="0" applyNumberFormat="1" applyFont="1" applyFill="1" applyAlignment="1" applyProtection="1">
      <alignment horizontal="center"/>
    </xf>
    <xf numFmtId="0" fontId="21" fillId="0" borderId="0" xfId="0" applyFont="1"/>
    <xf numFmtId="0" fontId="20" fillId="0" borderId="0" xfId="0" applyFont="1" applyAlignment="1">
      <alignment vertical="distributed"/>
    </xf>
    <xf numFmtId="0" fontId="0" fillId="0" borderId="0" xfId="0" applyAlignment="1">
      <alignment horizontal="center" vertical="distributed"/>
    </xf>
    <xf numFmtId="0" fontId="0" fillId="0" borderId="54" xfId="0" applyBorder="1" applyAlignment="1">
      <alignment vertical="distributed"/>
    </xf>
    <xf numFmtId="0" fontId="0" fillId="0" borderId="55" xfId="0" applyBorder="1" applyAlignment="1">
      <alignment horizontal="center" vertical="distributed"/>
    </xf>
    <xf numFmtId="1" fontId="0" fillId="36" borderId="55" xfId="0" applyNumberFormat="1" applyFill="1" applyBorder="1" applyAlignment="1">
      <alignment horizontal="center" vertical="distributed"/>
    </xf>
    <xf numFmtId="0" fontId="0" fillId="0" borderId="49" xfId="0" applyBorder="1" applyAlignment="1">
      <alignment vertical="distributed"/>
    </xf>
    <xf numFmtId="0" fontId="0" fillId="0" borderId="22" xfId="0" applyBorder="1" applyAlignment="1">
      <alignment horizontal="center" vertical="distributed"/>
    </xf>
    <xf numFmtId="2" fontId="0" fillId="36" borderId="22" xfId="0" applyNumberFormat="1" applyFill="1" applyBorder="1" applyAlignment="1">
      <alignment horizontal="center" vertical="distributed"/>
    </xf>
    <xf numFmtId="0" fontId="0" fillId="0" borderId="51" xfId="0" applyBorder="1" applyAlignment="1">
      <alignment vertical="distributed"/>
    </xf>
    <xf numFmtId="0" fontId="0" fillId="0" borderId="52" xfId="0" applyBorder="1" applyAlignment="1">
      <alignment horizontal="center" vertical="distributed"/>
    </xf>
    <xf numFmtId="0" fontId="0" fillId="0" borderId="0" xfId="0" applyAlignment="1">
      <alignment vertical="distributed"/>
    </xf>
    <xf numFmtId="164" fontId="0" fillId="36" borderId="22" xfId="0" applyNumberFormat="1" applyFill="1" applyBorder="1" applyAlignment="1">
      <alignment horizontal="center" vertical="distributed"/>
    </xf>
    <xf numFmtId="165" fontId="0" fillId="36" borderId="52" xfId="0" applyNumberFormat="1" applyFill="1" applyBorder="1" applyAlignment="1">
      <alignment horizontal="center" vertical="distributed"/>
    </xf>
    <xf numFmtId="164" fontId="0" fillId="36" borderId="55" xfId="0" applyNumberFormat="1" applyFill="1" applyBorder="1" applyAlignment="1">
      <alignment horizontal="center" vertical="distributed"/>
    </xf>
    <xf numFmtId="1" fontId="0" fillId="36" borderId="22" xfId="0" applyNumberFormat="1" applyFill="1" applyBorder="1" applyAlignment="1">
      <alignment horizontal="center" vertical="distributed"/>
    </xf>
    <xf numFmtId="2" fontId="0" fillId="36" borderId="52" xfId="0" applyNumberFormat="1" applyFill="1" applyBorder="1" applyAlignment="1">
      <alignment horizontal="center" vertical="distributed"/>
    </xf>
    <xf numFmtId="164" fontId="0" fillId="36" borderId="52" xfId="0" applyNumberFormat="1" applyFill="1" applyBorder="1" applyAlignment="1">
      <alignment horizontal="center" vertical="distributed"/>
    </xf>
    <xf numFmtId="166" fontId="0" fillId="36" borderId="52" xfId="0" applyNumberFormat="1" applyFill="1" applyBorder="1" applyAlignment="1">
      <alignment horizontal="center" vertical="distributed"/>
    </xf>
    <xf numFmtId="2" fontId="22" fillId="36" borderId="33" xfId="0" applyNumberFormat="1" applyFont="1" applyFill="1" applyBorder="1" applyAlignment="1" applyProtection="1">
      <alignment horizontal="center"/>
    </xf>
    <xf numFmtId="1" fontId="33" fillId="36" borderId="0" xfId="0" applyNumberFormat="1" applyFont="1" applyFill="1" applyAlignment="1" applyProtection="1">
      <alignment horizontal="center"/>
    </xf>
    <xf numFmtId="2" fontId="0" fillId="36" borderId="55" xfId="0" applyNumberFormat="1" applyFill="1" applyBorder="1" applyAlignment="1">
      <alignment horizontal="center" vertical="distributed"/>
    </xf>
    <xf numFmtId="0" fontId="2" fillId="31" borderId="0" xfId="0" applyFont="1" applyFill="1"/>
    <xf numFmtId="2" fontId="2" fillId="31" borderId="0" xfId="0" applyNumberFormat="1" applyFont="1" applyFill="1" applyAlignment="1">
      <alignment horizontal="center"/>
    </xf>
    <xf numFmtId="0" fontId="30" fillId="31" borderId="0" xfId="0" applyFont="1" applyFill="1" applyAlignment="1" applyProtection="1">
      <alignment horizontal="center"/>
    </xf>
    <xf numFmtId="2" fontId="2" fillId="31" borderId="0" xfId="0" applyNumberFormat="1" applyFont="1" applyFill="1" applyAlignment="1" applyProtection="1">
      <alignment horizontal="center"/>
    </xf>
    <xf numFmtId="0" fontId="2" fillId="0" borderId="0" xfId="0" applyFont="1" applyProtection="1"/>
    <xf numFmtId="0" fontId="30" fillId="0" borderId="0" xfId="0" applyFont="1" applyAlignment="1" applyProtection="1">
      <alignment horizontal="center"/>
    </xf>
    <xf numFmtId="2" fontId="30" fillId="31" borderId="0" xfId="0" applyNumberFormat="1" applyFont="1" applyFill="1" applyAlignment="1" applyProtection="1">
      <alignment horizontal="center"/>
    </xf>
    <xf numFmtId="0" fontId="2" fillId="0" borderId="0" xfId="0" applyFont="1"/>
    <xf numFmtId="165" fontId="2" fillId="0" borderId="0" xfId="0" applyNumberFormat="1" applyFont="1" applyAlignment="1">
      <alignment horizontal="center"/>
    </xf>
    <xf numFmtId="0" fontId="2" fillId="0" borderId="0" xfId="0" applyFont="1" applyAlignment="1">
      <alignment horizontal="center"/>
    </xf>
    <xf numFmtId="0" fontId="28" fillId="0" borderId="0" xfId="0" applyFont="1" applyAlignment="1">
      <alignment horizontal="center"/>
    </xf>
    <xf numFmtId="0" fontId="2" fillId="31" borderId="0" xfId="0" applyFont="1" applyFill="1" applyProtection="1"/>
    <xf numFmtId="0" fontId="28" fillId="31" borderId="0" xfId="0" applyFont="1" applyFill="1" applyAlignment="1">
      <alignment horizontal="center"/>
    </xf>
    <xf numFmtId="0" fontId="2" fillId="37" borderId="0" xfId="0" applyFont="1" applyFill="1"/>
    <xf numFmtId="0" fontId="28" fillId="37" borderId="0" xfId="0" applyFont="1" applyFill="1" applyAlignment="1">
      <alignment horizontal="center"/>
    </xf>
    <xf numFmtId="2" fontId="2" fillId="37" borderId="0" xfId="0" applyNumberFormat="1" applyFont="1" applyFill="1" applyAlignment="1">
      <alignment horizontal="center"/>
    </xf>
    <xf numFmtId="167" fontId="27" fillId="0" borderId="0" xfId="0" applyNumberFormat="1" applyFont="1" applyAlignment="1" applyProtection="1">
      <alignment horizontal="center"/>
    </xf>
    <xf numFmtId="0" fontId="2" fillId="0" borderId="0" xfId="0" applyFont="1" applyFill="1" applyAlignment="1" applyProtection="1">
      <alignment horizontal="center"/>
    </xf>
    <xf numFmtId="0" fontId="30" fillId="0" borderId="0" xfId="0" applyFont="1" applyFill="1" applyAlignment="1" applyProtection="1">
      <alignment horizontal="center"/>
    </xf>
    <xf numFmtId="167" fontId="2" fillId="0" borderId="0" xfId="0" applyNumberFormat="1" applyFont="1" applyFill="1" applyAlignment="1" applyProtection="1">
      <alignment horizontal="center"/>
    </xf>
    <xf numFmtId="0" fontId="2" fillId="0" borderId="0" xfId="0" applyFont="1" applyAlignment="1" applyProtection="1">
      <alignment horizontal="center"/>
    </xf>
    <xf numFmtId="0" fontId="2" fillId="32" borderId="0" xfId="0" applyFont="1" applyFill="1" applyAlignment="1">
      <alignment horizontal="center"/>
    </xf>
    <xf numFmtId="2" fontId="2" fillId="32" borderId="0" xfId="0" applyNumberFormat="1" applyFont="1" applyFill="1" applyAlignment="1">
      <alignment horizontal="center"/>
    </xf>
    <xf numFmtId="0" fontId="28" fillId="0" borderId="0" xfId="0" applyFont="1" applyFill="1" applyAlignment="1" applyProtection="1">
      <alignment horizontal="center"/>
    </xf>
    <xf numFmtId="166" fontId="27" fillId="0" borderId="0" xfId="0" applyNumberFormat="1" applyFont="1" applyFill="1" applyAlignment="1" applyProtection="1">
      <alignment horizontal="center"/>
    </xf>
    <xf numFmtId="2" fontId="28" fillId="31" borderId="0" xfId="0" applyNumberFormat="1" applyFont="1" applyFill="1" applyAlignment="1">
      <alignment horizontal="center"/>
    </xf>
    <xf numFmtId="165" fontId="27" fillId="0" borderId="56" xfId="0" applyNumberFormat="1" applyFont="1" applyFill="1" applyBorder="1" applyAlignment="1" applyProtection="1">
      <alignment horizontal="center"/>
    </xf>
    <xf numFmtId="165" fontId="27" fillId="0" borderId="57" xfId="0" applyNumberFormat="1" applyFont="1" applyFill="1" applyBorder="1" applyAlignment="1" applyProtection="1">
      <alignment horizontal="center"/>
    </xf>
    <xf numFmtId="0" fontId="28" fillId="32" borderId="0" xfId="0" applyFont="1" applyFill="1" applyAlignment="1">
      <alignment horizontal="center"/>
    </xf>
    <xf numFmtId="166" fontId="2" fillId="0" borderId="0" xfId="0" applyNumberFormat="1" applyFont="1" applyFill="1" applyAlignment="1" applyProtection="1">
      <alignment horizontal="center"/>
    </xf>
    <xf numFmtId="0" fontId="30" fillId="0" borderId="0" xfId="0" applyFont="1" applyAlignment="1">
      <alignment horizontal="center"/>
    </xf>
    <xf numFmtId="0" fontId="30" fillId="32" borderId="0" xfId="0" applyFont="1" applyFill="1" applyAlignment="1">
      <alignment horizontal="center"/>
    </xf>
    <xf numFmtId="0" fontId="30" fillId="31" borderId="0" xfId="0" applyFont="1" applyFill="1" applyAlignment="1">
      <alignment horizontal="center"/>
    </xf>
    <xf numFmtId="2" fontId="30" fillId="31" borderId="0" xfId="0" applyNumberFormat="1" applyFont="1" applyFill="1" applyAlignment="1">
      <alignment horizontal="center"/>
    </xf>
    <xf numFmtId="0" fontId="0" fillId="0" borderId="0" xfId="0" applyBorder="1" applyProtection="1"/>
    <xf numFmtId="0" fontId="21" fillId="27" borderId="58" xfId="0" applyFont="1" applyFill="1" applyBorder="1" applyProtection="1"/>
    <xf numFmtId="0" fontId="24" fillId="27" borderId="33" xfId="0" applyFont="1" applyFill="1" applyBorder="1" applyProtection="1"/>
    <xf numFmtId="0" fontId="20" fillId="27" borderId="58" xfId="0" applyFont="1" applyFill="1" applyBorder="1" applyProtection="1"/>
    <xf numFmtId="0" fontId="21" fillId="0" borderId="33" xfId="0" applyFont="1" applyBorder="1" applyProtection="1">
      <protection locked="0"/>
    </xf>
    <xf numFmtId="0" fontId="25" fillId="27" borderId="33" xfId="0" applyFont="1" applyFill="1" applyBorder="1" applyProtection="1"/>
    <xf numFmtId="0" fontId="0" fillId="27" borderId="33" xfId="0" applyFill="1" applyBorder="1" applyProtection="1"/>
    <xf numFmtId="0" fontId="0" fillId="27" borderId="59" xfId="0" applyFill="1" applyBorder="1" applyProtection="1"/>
    <xf numFmtId="0" fontId="26" fillId="1" borderId="60" xfId="0" applyFont="1" applyFill="1" applyBorder="1" applyProtection="1"/>
    <xf numFmtId="0" fontId="27" fillId="1" borderId="61" xfId="0" applyFont="1" applyFill="1" applyBorder="1" applyProtection="1"/>
    <xf numFmtId="0" fontId="27" fillId="0" borderId="49" xfId="0" applyFont="1" applyBorder="1" applyProtection="1"/>
    <xf numFmtId="0" fontId="27" fillId="1" borderId="21" xfId="0" applyFont="1" applyFill="1" applyBorder="1" applyProtection="1">
      <protection locked="0"/>
    </xf>
    <xf numFmtId="0" fontId="0" fillId="0" borderId="0" xfId="0" applyBorder="1"/>
    <xf numFmtId="0" fontId="27" fillId="1" borderId="21" xfId="0" applyFont="1" applyFill="1" applyBorder="1" applyProtection="1"/>
    <xf numFmtId="0" fontId="28" fillId="1" borderId="0" xfId="0" applyFont="1" applyFill="1" applyBorder="1" applyProtection="1"/>
    <xf numFmtId="0" fontId="0" fillId="1" borderId="0" xfId="0" applyFill="1" applyBorder="1" applyProtection="1"/>
    <xf numFmtId="0" fontId="30" fillId="1" borderId="0" xfId="0" applyFont="1" applyFill="1" applyBorder="1" applyProtection="1"/>
    <xf numFmtId="0" fontId="27" fillId="0" borderId="15" xfId="0" applyFont="1" applyBorder="1" applyProtection="1"/>
    <xf numFmtId="0" fontId="27" fillId="0" borderId="54" xfId="0" applyFont="1" applyBorder="1" applyProtection="1"/>
    <xf numFmtId="165" fontId="27" fillId="33" borderId="0" xfId="0" applyNumberFormat="1" applyFont="1" applyFill="1" applyBorder="1" applyAlignment="1" applyProtection="1">
      <alignment horizontal="center"/>
    </xf>
    <xf numFmtId="165" fontId="27" fillId="0" borderId="0" xfId="0" applyNumberFormat="1" applyFont="1" applyFill="1" applyBorder="1" applyAlignment="1" applyProtection="1">
      <alignment horizontal="center"/>
    </xf>
    <xf numFmtId="165" fontId="27" fillId="36" borderId="0" xfId="0" applyNumberFormat="1" applyFont="1" applyFill="1" applyBorder="1" applyAlignment="1" applyProtection="1">
      <alignment horizontal="center"/>
    </xf>
    <xf numFmtId="0" fontId="0" fillId="27" borderId="37" xfId="0" applyFill="1" applyBorder="1"/>
    <xf numFmtId="0" fontId="27" fillId="0" borderId="22" xfId="0" applyFont="1" applyBorder="1" applyAlignment="1" applyProtection="1">
      <alignment horizontal="center"/>
    </xf>
    <xf numFmtId="0" fontId="28" fillId="34" borderId="36" xfId="0" applyFont="1" applyFill="1" applyBorder="1" applyAlignment="1" applyProtection="1">
      <alignment horizontal="right"/>
      <protection hidden="1"/>
    </xf>
    <xf numFmtId="0" fontId="40" fillId="0" borderId="0" xfId="0" applyFont="1" applyProtection="1"/>
    <xf numFmtId="0" fontId="40" fillId="0" borderId="0" xfId="0" applyFont="1" applyAlignment="1" applyProtection="1">
      <alignment horizontal="center"/>
    </xf>
    <xf numFmtId="0" fontId="0" fillId="0" borderId="0" xfId="0" applyAlignment="1" applyProtection="1">
      <alignment horizontal="center"/>
    </xf>
    <xf numFmtId="2" fontId="40" fillId="38" borderId="22" xfId="0" applyNumberFormat="1" applyFont="1" applyFill="1" applyBorder="1" applyAlignment="1" applyProtection="1">
      <alignment horizontal="center" vertical="center"/>
    </xf>
    <xf numFmtId="1" fontId="40" fillId="39" borderId="22" xfId="0" applyNumberFormat="1" applyFont="1" applyFill="1" applyBorder="1" applyAlignment="1" applyProtection="1">
      <alignment horizontal="center" vertical="center"/>
      <protection locked="0"/>
    </xf>
    <xf numFmtId="1" fontId="40" fillId="39" borderId="50" xfId="0" applyNumberFormat="1" applyFont="1" applyFill="1" applyBorder="1" applyAlignment="1" applyProtection="1">
      <alignment horizontal="center" vertical="center"/>
      <protection locked="0"/>
    </xf>
    <xf numFmtId="1" fontId="40" fillId="38" borderId="22" xfId="0" applyNumberFormat="1" applyFont="1" applyFill="1" applyBorder="1" applyAlignment="1" applyProtection="1">
      <alignment horizontal="center" vertical="center"/>
    </xf>
    <xf numFmtId="1" fontId="40" fillId="38" borderId="50" xfId="0" applyNumberFormat="1" applyFont="1" applyFill="1" applyBorder="1" applyAlignment="1" applyProtection="1">
      <alignment horizontal="center" vertical="center"/>
    </xf>
    <xf numFmtId="1" fontId="40" fillId="36" borderId="22" xfId="0" applyNumberFormat="1" applyFont="1" applyFill="1" applyBorder="1" applyAlignment="1" applyProtection="1">
      <alignment horizontal="center" vertical="center"/>
    </xf>
    <xf numFmtId="2" fontId="40" fillId="36" borderId="22" xfId="0" applyNumberFormat="1" applyFont="1" applyFill="1" applyBorder="1" applyAlignment="1" applyProtection="1">
      <alignment horizontal="center" vertical="center"/>
    </xf>
    <xf numFmtId="165" fontId="40" fillId="36" borderId="22" xfId="0" applyNumberFormat="1" applyFont="1" applyFill="1" applyBorder="1" applyAlignment="1" applyProtection="1">
      <alignment horizontal="center" vertical="center"/>
    </xf>
    <xf numFmtId="0" fontId="39" fillId="36" borderId="62" xfId="0" applyFont="1" applyFill="1" applyBorder="1" applyAlignment="1" applyProtection="1">
      <alignment horizontal="left" vertical="center" indent="1"/>
    </xf>
    <xf numFmtId="0" fontId="0" fillId="27" borderId="21" xfId="0" applyFill="1" applyBorder="1" applyProtection="1"/>
    <xf numFmtId="0" fontId="27" fillId="1" borderId="63" xfId="0" applyFont="1" applyFill="1" applyBorder="1" applyProtection="1"/>
    <xf numFmtId="0" fontId="27" fillId="29" borderId="0" xfId="0" applyFont="1" applyFill="1" applyBorder="1" applyProtection="1"/>
    <xf numFmtId="0" fontId="0" fillId="29" borderId="0" xfId="0" applyFill="1" applyBorder="1" applyProtection="1"/>
    <xf numFmtId="2" fontId="2" fillId="33" borderId="48" xfId="0" applyNumberFormat="1" applyFont="1" applyFill="1" applyBorder="1" applyAlignment="1">
      <alignment horizontal="center"/>
    </xf>
    <xf numFmtId="164" fontId="28" fillId="35" borderId="43" xfId="0" applyNumberFormat="1" applyFont="1" applyFill="1" applyBorder="1" applyAlignment="1" applyProtection="1">
      <alignment horizontal="center"/>
    </xf>
    <xf numFmtId="1" fontId="27" fillId="30" borderId="36" xfId="0" applyNumberFormat="1" applyFont="1" applyFill="1" applyBorder="1" applyAlignment="1" applyProtection="1">
      <alignment horizontal="center"/>
    </xf>
    <xf numFmtId="165" fontId="28" fillId="0" borderId="50" xfId="0" applyNumberFormat="1" applyFont="1" applyBorder="1" applyAlignment="1" applyProtection="1">
      <alignment horizontal="center"/>
    </xf>
    <xf numFmtId="165" fontId="27" fillId="0" borderId="50" xfId="0" applyNumberFormat="1" applyFont="1" applyBorder="1" applyAlignment="1" applyProtection="1">
      <alignment horizontal="center"/>
    </xf>
    <xf numFmtId="165" fontId="27" fillId="0" borderId="22" xfId="0" applyNumberFormat="1" applyFont="1" applyFill="1" applyBorder="1" applyAlignment="1" applyProtection="1">
      <alignment horizontal="center"/>
    </xf>
    <xf numFmtId="165" fontId="27" fillId="0" borderId="50" xfId="0" applyNumberFormat="1" applyFont="1" applyFill="1" applyBorder="1" applyAlignment="1" applyProtection="1">
      <alignment horizontal="center"/>
    </xf>
    <xf numFmtId="1" fontId="27" fillId="0" borderId="22" xfId="0" applyNumberFormat="1" applyFont="1" applyBorder="1" applyAlignment="1" applyProtection="1">
      <alignment horizontal="center"/>
    </xf>
    <xf numFmtId="1" fontId="27" fillId="0" borderId="50" xfId="0" applyNumberFormat="1" applyFont="1" applyBorder="1" applyAlignment="1" applyProtection="1">
      <alignment horizontal="center"/>
    </xf>
    <xf numFmtId="1" fontId="27" fillId="0" borderId="50" xfId="0" applyNumberFormat="1" applyFont="1" applyFill="1" applyBorder="1" applyAlignment="1" applyProtection="1">
      <alignment horizontal="center"/>
    </xf>
    <xf numFmtId="1" fontId="28" fillId="0" borderId="50" xfId="0" applyNumberFormat="1" applyFont="1" applyBorder="1" applyAlignment="1" applyProtection="1">
      <alignment horizontal="center"/>
    </xf>
    <xf numFmtId="1" fontId="33" fillId="0" borderId="22" xfId="0" applyNumberFormat="1" applyFont="1" applyBorder="1" applyAlignment="1" applyProtection="1">
      <alignment horizontal="center"/>
    </xf>
    <xf numFmtId="1" fontId="33" fillId="0" borderId="50" xfId="0" applyNumberFormat="1" applyFont="1" applyBorder="1" applyAlignment="1" applyProtection="1">
      <alignment horizontal="center"/>
    </xf>
    <xf numFmtId="2" fontId="27" fillId="0" borderId="22" xfId="0" applyNumberFormat="1" applyFont="1" applyBorder="1" applyAlignment="1" applyProtection="1">
      <alignment horizontal="center"/>
    </xf>
    <xf numFmtId="2" fontId="27" fillId="0" borderId="50" xfId="0" applyNumberFormat="1" applyFont="1" applyBorder="1" applyAlignment="1" applyProtection="1">
      <alignment horizontal="center"/>
    </xf>
    <xf numFmtId="0" fontId="27" fillId="0" borderId="64" xfId="0" applyFont="1" applyBorder="1" applyProtection="1"/>
    <xf numFmtId="164" fontId="28" fillId="36" borderId="55" xfId="0" applyNumberFormat="1" applyFont="1" applyFill="1" applyBorder="1" applyAlignment="1" applyProtection="1">
      <alignment horizontal="center"/>
    </xf>
    <xf numFmtId="164" fontId="28" fillId="0" borderId="65" xfId="0" applyNumberFormat="1" applyFont="1" applyBorder="1" applyAlignment="1" applyProtection="1">
      <alignment horizontal="center"/>
    </xf>
    <xf numFmtId="1" fontId="28" fillId="0" borderId="50" xfId="0" applyNumberFormat="1" applyFont="1" applyFill="1" applyBorder="1" applyAlignment="1" applyProtection="1">
      <alignment horizontal="center"/>
    </xf>
    <xf numFmtId="1" fontId="28" fillId="0" borderId="22" xfId="0" applyNumberFormat="1" applyFont="1" applyBorder="1" applyAlignment="1" applyProtection="1">
      <alignment horizontal="center"/>
    </xf>
    <xf numFmtId="0" fontId="21" fillId="27" borderId="15" xfId="0" applyFont="1" applyFill="1" applyBorder="1" applyProtection="1"/>
    <xf numFmtId="0" fontId="21" fillId="0" borderId="0" xfId="0" applyFont="1" applyBorder="1" applyProtection="1">
      <protection locked="0"/>
    </xf>
    <xf numFmtId="0" fontId="25" fillId="27" borderId="0" xfId="0" applyFont="1" applyFill="1" applyBorder="1" applyProtection="1"/>
    <xf numFmtId="0" fontId="0" fillId="27" borderId="0" xfId="0" applyFill="1" applyBorder="1" applyProtection="1"/>
    <xf numFmtId="0" fontId="0" fillId="0" borderId="0" xfId="0" applyAlignment="1" applyProtection="1">
      <alignment horizontal="center"/>
      <protection locked="0"/>
    </xf>
    <xf numFmtId="0" fontId="0" fillId="0" borderId="0" xfId="0" applyProtection="1">
      <protection locked="0"/>
    </xf>
    <xf numFmtId="165" fontId="28" fillId="0" borderId="50" xfId="0" applyNumberFormat="1" applyFont="1" applyFill="1" applyBorder="1" applyAlignment="1" applyProtection="1">
      <alignment horizontal="center"/>
    </xf>
    <xf numFmtId="1" fontId="27" fillId="0" borderId="22" xfId="0" applyNumberFormat="1" applyFont="1" applyFill="1" applyBorder="1" applyAlignment="1" applyProtection="1">
      <alignment horizontal="center"/>
    </xf>
    <xf numFmtId="165" fontId="27" fillId="33" borderId="14" xfId="0" applyNumberFormat="1" applyFont="1" applyFill="1" applyBorder="1" applyAlignment="1" applyProtection="1">
      <alignment horizontal="center"/>
    </xf>
    <xf numFmtId="164" fontId="28" fillId="0" borderId="50" xfId="0" applyNumberFormat="1" applyFont="1" applyBorder="1" applyAlignment="1" applyProtection="1">
      <alignment horizontal="center"/>
    </xf>
    <xf numFmtId="2" fontId="27" fillId="0" borderId="65" xfId="0" applyNumberFormat="1" applyFont="1" applyBorder="1" applyAlignment="1" applyProtection="1">
      <alignment horizontal="center"/>
    </xf>
    <xf numFmtId="2" fontId="28" fillId="0" borderId="50" xfId="0" applyNumberFormat="1" applyFont="1" applyBorder="1" applyAlignment="1" applyProtection="1">
      <alignment horizontal="center"/>
    </xf>
    <xf numFmtId="165" fontId="27" fillId="0" borderId="53" xfId="0" applyNumberFormat="1" applyFont="1" applyFill="1" applyBorder="1" applyAlignment="1" applyProtection="1">
      <alignment horizontal="center"/>
    </xf>
    <xf numFmtId="165" fontId="27" fillId="0" borderId="19" xfId="0" applyNumberFormat="1" applyFont="1" applyFill="1" applyBorder="1" applyAlignment="1" applyProtection="1">
      <alignment horizontal="center"/>
    </xf>
    <xf numFmtId="165" fontId="27" fillId="0" borderId="66" xfId="0" applyNumberFormat="1" applyFont="1" applyFill="1" applyBorder="1" applyAlignment="1" applyProtection="1">
      <alignment horizontal="center"/>
    </xf>
    <xf numFmtId="165" fontId="27" fillId="0" borderId="67" xfId="0" applyNumberFormat="1" applyFont="1" applyFill="1" applyBorder="1" applyAlignment="1" applyProtection="1">
      <alignment horizontal="center"/>
    </xf>
    <xf numFmtId="165" fontId="27" fillId="0" borderId="68" xfId="0" applyNumberFormat="1" applyFont="1" applyFill="1" applyBorder="1" applyAlignment="1" applyProtection="1">
      <alignment horizontal="center"/>
    </xf>
    <xf numFmtId="165" fontId="28" fillId="0" borderId="53" xfId="0" applyNumberFormat="1" applyFont="1" applyBorder="1" applyAlignment="1" applyProtection="1">
      <alignment horizontal="center"/>
    </xf>
    <xf numFmtId="165" fontId="27" fillId="33" borderId="67" xfId="0" applyNumberFormat="1" applyFont="1" applyFill="1" applyBorder="1" applyAlignment="1" applyProtection="1">
      <alignment horizontal="center"/>
    </xf>
    <xf numFmtId="165" fontId="27" fillId="36" borderId="67" xfId="0" applyNumberFormat="1" applyFont="1" applyFill="1" applyBorder="1" applyAlignment="1" applyProtection="1">
      <alignment horizontal="center"/>
    </xf>
    <xf numFmtId="165" fontId="27" fillId="33" borderId="69" xfId="0" applyNumberFormat="1" applyFont="1" applyFill="1" applyBorder="1" applyAlignment="1" applyProtection="1">
      <alignment horizontal="center"/>
    </xf>
    <xf numFmtId="165" fontId="0" fillId="36" borderId="22" xfId="0" applyNumberFormat="1" applyFill="1" applyBorder="1" applyAlignment="1">
      <alignment horizontal="center" vertical="distributed"/>
    </xf>
    <xf numFmtId="0" fontId="46" fillId="0" borderId="51" xfId="0" applyFont="1" applyBorder="1" applyAlignment="1">
      <alignment vertical="distributed"/>
    </xf>
    <xf numFmtId="0" fontId="46" fillId="0" borderId="52" xfId="0" applyFont="1" applyBorder="1" applyAlignment="1">
      <alignment horizontal="center" vertical="distributed"/>
    </xf>
    <xf numFmtId="165" fontId="46" fillId="36" borderId="52" xfId="0" applyNumberFormat="1" applyFont="1" applyFill="1" applyBorder="1" applyAlignment="1">
      <alignment horizontal="center" vertical="distributed"/>
    </xf>
    <xf numFmtId="0" fontId="47" fillId="0" borderId="0" xfId="0" applyFont="1" applyAlignment="1">
      <alignment horizontal="center"/>
    </xf>
    <xf numFmtId="1" fontId="40" fillId="40" borderId="22" xfId="0" applyNumberFormat="1" applyFont="1" applyFill="1" applyBorder="1" applyAlignment="1" applyProtection="1">
      <alignment horizontal="center" vertical="center"/>
      <protection locked="0"/>
    </xf>
    <xf numFmtId="0" fontId="46" fillId="0" borderId="49" xfId="0" applyFont="1" applyBorder="1" applyAlignment="1">
      <alignment vertical="distributed"/>
    </xf>
    <xf numFmtId="0" fontId="46" fillId="0" borderId="22" xfId="0" applyFont="1" applyBorder="1" applyAlignment="1">
      <alignment horizontal="center" vertical="distributed"/>
    </xf>
    <xf numFmtId="1" fontId="46" fillId="36" borderId="22" xfId="0" applyNumberFormat="1" applyFont="1" applyFill="1" applyBorder="1" applyAlignment="1">
      <alignment horizontal="center" vertical="distributed"/>
    </xf>
    <xf numFmtId="1" fontId="0" fillId="0" borderId="0" xfId="0" applyNumberFormat="1"/>
    <xf numFmtId="0" fontId="0" fillId="0" borderId="0" xfId="0" applyFill="1"/>
    <xf numFmtId="0" fontId="0" fillId="0" borderId="0" xfId="0" applyFill="1" applyAlignment="1">
      <alignment horizontal="center"/>
    </xf>
    <xf numFmtId="0" fontId="0" fillId="0" borderId="0" xfId="0" applyAlignment="1">
      <alignment horizontal="left" vertical="distributed"/>
    </xf>
    <xf numFmtId="164" fontId="44" fillId="27" borderId="23" xfId="0" applyNumberFormat="1" applyFont="1" applyFill="1" applyBorder="1" applyAlignment="1">
      <alignment horizontal="center"/>
    </xf>
    <xf numFmtId="0" fontId="44" fillId="27" borderId="14" xfId="0" applyFont="1" applyFill="1" applyBorder="1" applyAlignment="1">
      <alignment horizontal="center"/>
    </xf>
    <xf numFmtId="0" fontId="0" fillId="27" borderId="28" xfId="0" applyFill="1" applyBorder="1" applyAlignment="1">
      <alignment horizontal="center"/>
    </xf>
    <xf numFmtId="1" fontId="0" fillId="27" borderId="14" xfId="0" applyNumberFormat="1" applyFill="1" applyBorder="1" applyAlignment="1">
      <alignment horizontal="center"/>
    </xf>
    <xf numFmtId="0" fontId="0" fillId="27" borderId="14" xfId="0" applyFill="1" applyBorder="1" applyAlignment="1">
      <alignment horizontal="center"/>
    </xf>
    <xf numFmtId="164" fontId="44" fillId="27" borderId="70" xfId="0" applyNumberFormat="1" applyFont="1" applyFill="1" applyBorder="1" applyAlignment="1">
      <alignment horizontal="center"/>
    </xf>
    <xf numFmtId="164" fontId="44" fillId="27" borderId="71" xfId="0" applyNumberFormat="1" applyFont="1" applyFill="1" applyBorder="1" applyAlignment="1">
      <alignment horizontal="center"/>
    </xf>
    <xf numFmtId="0" fontId="44" fillId="27" borderId="72" xfId="0" applyFont="1" applyFill="1" applyBorder="1" applyAlignment="1">
      <alignment horizontal="center"/>
    </xf>
    <xf numFmtId="0" fontId="44" fillId="27" borderId="73" xfId="0" applyFont="1" applyFill="1" applyBorder="1" applyAlignment="1">
      <alignment horizontal="center"/>
    </xf>
    <xf numFmtId="164" fontId="0" fillId="27" borderId="74" xfId="0" applyNumberFormat="1" applyFill="1" applyBorder="1" applyAlignment="1">
      <alignment horizontal="center"/>
    </xf>
    <xf numFmtId="0" fontId="0" fillId="27" borderId="75" xfId="0" applyFill="1" applyBorder="1" applyAlignment="1">
      <alignment horizontal="center"/>
    </xf>
    <xf numFmtId="164" fontId="0" fillId="27" borderId="72" xfId="0" applyNumberFormat="1" applyFill="1" applyBorder="1" applyAlignment="1">
      <alignment horizontal="center"/>
    </xf>
    <xf numFmtId="1" fontId="0" fillId="27" borderId="73" xfId="0" applyNumberFormat="1" applyFill="1" applyBorder="1" applyAlignment="1">
      <alignment horizontal="center"/>
    </xf>
    <xf numFmtId="0" fontId="0" fillId="27" borderId="73" xfId="0" applyFill="1" applyBorder="1" applyAlignment="1">
      <alignment horizontal="center"/>
    </xf>
    <xf numFmtId="0" fontId="0" fillId="27" borderId="72" xfId="0" applyFill="1" applyBorder="1" applyAlignment="1">
      <alignment horizontal="center"/>
    </xf>
    <xf numFmtId="0" fontId="0" fillId="27" borderId="76" xfId="0" applyFill="1" applyBorder="1" applyAlignment="1">
      <alignment horizontal="center"/>
    </xf>
    <xf numFmtId="0" fontId="0" fillId="27" borderId="77" xfId="0" applyFill="1" applyBorder="1" applyAlignment="1">
      <alignment horizontal="center"/>
    </xf>
    <xf numFmtId="0" fontId="0" fillId="27" borderId="78" xfId="0" applyFill="1" applyBorder="1" applyAlignment="1">
      <alignment horizontal="center"/>
    </xf>
    <xf numFmtId="0" fontId="19" fillId="0" borderId="79" xfId="0" applyFont="1" applyBorder="1" applyAlignment="1">
      <alignment horizontal="left" vertical="distributed" indent="1"/>
    </xf>
    <xf numFmtId="0" fontId="19" fillId="0" borderId="80" xfId="0" applyFont="1" applyBorder="1" applyAlignment="1">
      <alignment horizontal="left" vertical="distributed" indent="1"/>
    </xf>
    <xf numFmtId="0" fontId="19" fillId="0" borderId="81" xfId="0" applyFont="1" applyBorder="1" applyAlignment="1">
      <alignment horizontal="left" vertical="center" wrapText="1" indent="1"/>
    </xf>
    <xf numFmtId="0" fontId="19" fillId="0" borderId="80" xfId="0" applyFont="1" applyBorder="1" applyAlignment="1">
      <alignment horizontal="left" vertical="center" wrapText="1" indent="1"/>
    </xf>
    <xf numFmtId="0" fontId="19" fillId="0" borderId="82" xfId="0" applyFont="1" applyBorder="1" applyAlignment="1">
      <alignment horizontal="left" vertical="distributed" indent="1"/>
    </xf>
    <xf numFmtId="0" fontId="19" fillId="0" borderId="83" xfId="0" applyFont="1" applyBorder="1" applyAlignment="1">
      <alignment horizontal="left" vertical="distributed" indent="1"/>
    </xf>
    <xf numFmtId="0" fontId="44" fillId="27" borderId="82" xfId="0" applyFont="1" applyFill="1" applyBorder="1" applyAlignment="1" applyProtection="1">
      <alignment horizontal="left" indent="1"/>
    </xf>
    <xf numFmtId="0" fontId="44" fillId="27" borderId="81" xfId="0" applyFont="1" applyFill="1" applyBorder="1" applyAlignment="1" applyProtection="1">
      <alignment horizontal="left" indent="1"/>
    </xf>
    <xf numFmtId="0" fontId="44" fillId="27" borderId="81" xfId="0" applyFont="1" applyFill="1" applyBorder="1" applyAlignment="1">
      <alignment horizontal="left" wrapText="1" indent="1"/>
    </xf>
    <xf numFmtId="0" fontId="44" fillId="27" borderId="84" xfId="0" applyFont="1" applyFill="1" applyBorder="1" applyAlignment="1">
      <alignment horizontal="left" wrapText="1" indent="1"/>
    </xf>
    <xf numFmtId="0" fontId="44" fillId="27" borderId="85" xfId="0" applyFont="1" applyFill="1" applyBorder="1" applyAlignment="1" applyProtection="1">
      <alignment horizontal="left" indent="1"/>
    </xf>
    <xf numFmtId="1" fontId="19" fillId="0" borderId="86" xfId="0" applyNumberFormat="1" applyFont="1" applyFill="1" applyBorder="1" applyAlignment="1">
      <alignment horizontal="center" vertical="distributed"/>
    </xf>
    <xf numFmtId="0" fontId="19" fillId="0" borderId="87" xfId="0" applyFont="1" applyFill="1" applyBorder="1" applyAlignment="1">
      <alignment horizontal="center" vertical="distributed"/>
    </xf>
    <xf numFmtId="0" fontId="19" fillId="0" borderId="88" xfId="0" applyFont="1" applyFill="1" applyBorder="1" applyAlignment="1">
      <alignment horizontal="center" vertical="distributed"/>
    </xf>
    <xf numFmtId="1" fontId="19" fillId="0" borderId="89" xfId="0" applyNumberFormat="1" applyFont="1" applyFill="1" applyBorder="1" applyAlignment="1">
      <alignment horizontal="center" vertical="distributed"/>
    </xf>
    <xf numFmtId="0" fontId="19" fillId="0" borderId="90" xfId="0" applyFont="1" applyFill="1" applyBorder="1" applyAlignment="1">
      <alignment horizontal="center" vertical="distributed"/>
    </xf>
    <xf numFmtId="0" fontId="19" fillId="0" borderId="91" xfId="0" applyFont="1" applyFill="1" applyBorder="1" applyAlignment="1">
      <alignment horizontal="center" vertical="distributed"/>
    </xf>
    <xf numFmtId="1" fontId="19" fillId="0" borderId="90" xfId="0" applyNumberFormat="1" applyFont="1" applyFill="1" applyBorder="1" applyAlignment="1">
      <alignment horizontal="center" vertical="distributed"/>
    </xf>
    <xf numFmtId="1" fontId="19" fillId="0" borderId="91" xfId="0" applyNumberFormat="1" applyFont="1" applyFill="1" applyBorder="1" applyAlignment="1">
      <alignment horizontal="center" vertical="distributed"/>
    </xf>
    <xf numFmtId="0" fontId="19" fillId="0" borderId="74" xfId="0" applyFont="1" applyFill="1" applyBorder="1" applyAlignment="1">
      <alignment horizontal="center" vertical="distributed"/>
    </xf>
    <xf numFmtId="0" fontId="19" fillId="0" borderId="28" xfId="0" applyFont="1" applyFill="1" applyBorder="1" applyAlignment="1">
      <alignment horizontal="center" vertical="distributed"/>
    </xf>
    <xf numFmtId="0" fontId="19" fillId="0" borderId="75" xfId="0" applyFont="1" applyFill="1" applyBorder="1" applyAlignment="1">
      <alignment horizontal="center" vertical="distributed"/>
    </xf>
    <xf numFmtId="1" fontId="19" fillId="0" borderId="92" xfId="0" applyNumberFormat="1" applyFont="1" applyFill="1" applyBorder="1" applyAlignment="1">
      <alignment horizontal="center" vertical="distributed"/>
    </xf>
    <xf numFmtId="1" fontId="19" fillId="0" borderId="93" xfId="0" applyNumberFormat="1" applyFont="1" applyFill="1" applyBorder="1" applyAlignment="1">
      <alignment horizontal="center" vertical="distributed"/>
    </xf>
    <xf numFmtId="1" fontId="19" fillId="0" borderId="94" xfId="0" applyNumberFormat="1" applyFont="1" applyFill="1" applyBorder="1" applyAlignment="1">
      <alignment horizontal="center" vertical="distributed"/>
    </xf>
    <xf numFmtId="0" fontId="44" fillId="0" borderId="72" xfId="0" applyFont="1" applyFill="1" applyBorder="1" applyAlignment="1" applyProtection="1">
      <alignment horizontal="left" indent="1"/>
    </xf>
    <xf numFmtId="0" fontId="0" fillId="0" borderId="73" xfId="0" applyFill="1" applyBorder="1" applyAlignment="1">
      <alignment horizontal="center"/>
    </xf>
    <xf numFmtId="0" fontId="44" fillId="0" borderId="77" xfId="0" applyFont="1" applyFill="1" applyBorder="1" applyAlignment="1" applyProtection="1">
      <alignment horizontal="left" indent="1"/>
    </xf>
    <xf numFmtId="0" fontId="0" fillId="0" borderId="78" xfId="0" applyFill="1" applyBorder="1" applyAlignment="1">
      <alignment horizontal="center"/>
    </xf>
    <xf numFmtId="0" fontId="19" fillId="27" borderId="81" xfId="0" applyFont="1" applyFill="1" applyBorder="1" applyAlignment="1">
      <alignment horizontal="left" wrapText="1" indent="1"/>
    </xf>
    <xf numFmtId="164" fontId="19" fillId="27" borderId="74" xfId="0" applyNumberFormat="1" applyFont="1" applyFill="1" applyBorder="1" applyAlignment="1">
      <alignment horizontal="center"/>
    </xf>
    <xf numFmtId="164" fontId="19" fillId="27" borderId="75" xfId="0" applyNumberFormat="1" applyFont="1" applyFill="1" applyBorder="1" applyAlignment="1">
      <alignment horizontal="center"/>
    </xf>
    <xf numFmtId="165" fontId="40" fillId="36" borderId="52" xfId="0" applyNumberFormat="1" applyFont="1" applyFill="1" applyBorder="1" applyAlignment="1" applyProtection="1">
      <alignment horizontal="center" vertical="center"/>
    </xf>
    <xf numFmtId="0" fontId="20" fillId="0" borderId="95" xfId="0" applyFont="1" applyBorder="1"/>
    <xf numFmtId="0" fontId="0" fillId="0" borderId="95" xfId="0" applyBorder="1" applyAlignment="1">
      <alignment horizontal="center"/>
    </xf>
    <xf numFmtId="0" fontId="0" fillId="0" borderId="96" xfId="0" applyBorder="1" applyAlignment="1">
      <alignment horizontal="center"/>
    </xf>
    <xf numFmtId="0" fontId="0" fillId="0" borderId="97" xfId="0" applyBorder="1" applyAlignment="1">
      <alignment horizontal="center"/>
    </xf>
    <xf numFmtId="0" fontId="44" fillId="0" borderId="98" xfId="0" applyFont="1" applyFill="1" applyBorder="1" applyAlignment="1" applyProtection="1">
      <alignment horizontal="left" indent="1"/>
    </xf>
    <xf numFmtId="0" fontId="0" fillId="0" borderId="99" xfId="0" applyFill="1" applyBorder="1" applyAlignment="1">
      <alignment horizontal="center"/>
    </xf>
    <xf numFmtId="165" fontId="27" fillId="0" borderId="14" xfId="0" applyNumberFormat="1" applyFont="1" applyBorder="1" applyAlignment="1" applyProtection="1">
      <alignment horizontal="center"/>
    </xf>
    <xf numFmtId="165" fontId="27" fillId="0" borderId="14" xfId="0" applyNumberFormat="1" applyFont="1" applyFill="1" applyBorder="1" applyAlignment="1" applyProtection="1">
      <alignment horizontal="center"/>
    </xf>
    <xf numFmtId="1" fontId="27" fillId="0" borderId="14" xfId="0" applyNumberFormat="1" applyFont="1" applyFill="1" applyBorder="1" applyAlignment="1" applyProtection="1">
      <alignment horizontal="center"/>
    </xf>
    <xf numFmtId="165" fontId="27" fillId="0" borderId="19" xfId="0" applyNumberFormat="1" applyFont="1" applyBorder="1" applyAlignment="1" applyProtection="1">
      <alignment horizontal="center"/>
    </xf>
    <xf numFmtId="1" fontId="27" fillId="0" borderId="19" xfId="0" applyNumberFormat="1" applyFont="1" applyFill="1" applyBorder="1" applyAlignment="1" applyProtection="1">
      <alignment horizontal="center"/>
    </xf>
    <xf numFmtId="165" fontId="27" fillId="0" borderId="0" xfId="0" applyNumberFormat="1" applyFont="1" applyBorder="1" applyAlignment="1" applyProtection="1">
      <alignment horizontal="center"/>
    </xf>
    <xf numFmtId="165" fontId="27" fillId="0" borderId="21" xfId="0" applyNumberFormat="1" applyFont="1" applyFill="1" applyBorder="1" applyAlignment="1" applyProtection="1">
      <alignment horizontal="center"/>
    </xf>
    <xf numFmtId="0" fontId="26" fillId="1" borderId="26" xfId="0" applyFont="1" applyFill="1" applyBorder="1" applyProtection="1"/>
    <xf numFmtId="165" fontId="28" fillId="0" borderId="21" xfId="0" applyNumberFormat="1" applyFont="1" applyBorder="1" applyAlignment="1" applyProtection="1">
      <alignment horizontal="center"/>
    </xf>
    <xf numFmtId="0" fontId="27" fillId="0" borderId="14" xfId="0" applyFont="1" applyBorder="1" applyAlignment="1" applyProtection="1">
      <alignment horizontal="center"/>
    </xf>
    <xf numFmtId="0" fontId="0" fillId="0" borderId="0" xfId="0" applyAlignment="1">
      <alignment horizontal="center" vertical="center" wrapText="1"/>
    </xf>
    <xf numFmtId="0" fontId="40" fillId="36" borderId="48" xfId="0" applyFont="1" applyFill="1" applyBorder="1" applyAlignment="1" applyProtection="1">
      <alignment horizontal="center" vertical="center" wrapText="1"/>
    </xf>
    <xf numFmtId="1" fontId="40" fillId="40" borderId="55" xfId="0" applyNumberFormat="1" applyFont="1" applyFill="1" applyBorder="1" applyAlignment="1" applyProtection="1">
      <alignment horizontal="center" vertical="center"/>
      <protection locked="0"/>
    </xf>
    <xf numFmtId="1" fontId="40" fillId="40" borderId="50" xfId="0" applyNumberFormat="1" applyFont="1" applyFill="1" applyBorder="1" applyAlignment="1" applyProtection="1">
      <alignment horizontal="center" vertical="center"/>
      <protection locked="0"/>
    </xf>
    <xf numFmtId="164" fontId="40" fillId="40" borderId="22" xfId="0" applyNumberFormat="1" applyFont="1" applyFill="1" applyBorder="1" applyAlignment="1" applyProtection="1">
      <alignment horizontal="center" vertical="center"/>
      <protection locked="0"/>
    </xf>
    <xf numFmtId="1" fontId="40" fillId="40" borderId="53" xfId="0" applyNumberFormat="1" applyFont="1" applyFill="1" applyBorder="1" applyAlignment="1" applyProtection="1">
      <alignment horizontal="center" vertical="center"/>
      <protection locked="0"/>
    </xf>
    <xf numFmtId="0" fontId="61" fillId="0" borderId="0" xfId="0" applyFont="1" applyAlignment="1">
      <alignment horizontal="center"/>
    </xf>
    <xf numFmtId="165" fontId="61" fillId="0" borderId="0" xfId="0" applyNumberFormat="1" applyFont="1" applyAlignment="1">
      <alignment horizontal="center"/>
    </xf>
    <xf numFmtId="0" fontId="40" fillId="0" borderId="48" xfId="0" applyFont="1" applyBorder="1" applyAlignment="1" applyProtection="1">
      <alignment horizontal="center" vertical="center" wrapText="1"/>
    </xf>
    <xf numFmtId="0" fontId="40" fillId="38" borderId="65" xfId="0" applyFont="1" applyFill="1" applyBorder="1" applyAlignment="1" applyProtection="1">
      <alignment horizontal="center" vertical="center"/>
    </xf>
    <xf numFmtId="0" fontId="46" fillId="0" borderId="0" xfId="0" applyFont="1" applyAlignment="1">
      <alignment horizontal="left" indent="1"/>
    </xf>
    <xf numFmtId="164" fontId="0" fillId="0" borderId="0" xfId="0" applyNumberFormat="1" applyAlignment="1" applyProtection="1">
      <alignment horizontal="center"/>
    </xf>
    <xf numFmtId="0" fontId="27" fillId="27" borderId="0" xfId="0" applyFont="1" applyFill="1" applyAlignment="1" applyProtection="1">
      <alignment horizontal="center"/>
    </xf>
    <xf numFmtId="1" fontId="27" fillId="27" borderId="0" xfId="0" applyNumberFormat="1" applyFont="1" applyFill="1" applyAlignment="1" applyProtection="1">
      <alignment horizontal="center"/>
    </xf>
    <xf numFmtId="164" fontId="27" fillId="27" borderId="0" xfId="0" applyNumberFormat="1" applyFont="1" applyFill="1" applyAlignment="1" applyProtection="1">
      <alignment horizontal="center"/>
    </xf>
    <xf numFmtId="0" fontId="0" fillId="0" borderId="0" xfId="0" applyFill="1" applyProtection="1"/>
    <xf numFmtId="0" fontId="0" fillId="0" borderId="0" xfId="0" applyFill="1" applyAlignment="1" applyProtection="1">
      <alignment horizontal="center"/>
    </xf>
    <xf numFmtId="1" fontId="58" fillId="27" borderId="0" xfId="0" applyNumberFormat="1" applyFont="1" applyFill="1" applyBorder="1" applyAlignment="1" applyProtection="1">
      <alignment horizontal="center"/>
    </xf>
    <xf numFmtId="1" fontId="58" fillId="0" borderId="0" xfId="0" applyNumberFormat="1" applyFont="1" applyFill="1" applyBorder="1" applyAlignment="1" applyProtection="1">
      <alignment horizontal="center"/>
    </xf>
    <xf numFmtId="1" fontId="0" fillId="0" borderId="49" xfId="0" applyNumberFormat="1" applyBorder="1" applyAlignment="1">
      <alignment vertical="distributed"/>
    </xf>
    <xf numFmtId="1" fontId="0" fillId="0" borderId="22" xfId="0" applyNumberFormat="1" applyBorder="1" applyAlignment="1">
      <alignment horizontal="center" vertical="distributed"/>
    </xf>
    <xf numFmtId="164" fontId="0" fillId="36" borderId="53" xfId="0" applyNumberFormat="1" applyFill="1" applyBorder="1" applyAlignment="1">
      <alignment horizontal="center" vertical="distributed"/>
    </xf>
    <xf numFmtId="2" fontId="46" fillId="36" borderId="52" xfId="0" applyNumberFormat="1" applyFont="1" applyFill="1" applyBorder="1" applyAlignment="1">
      <alignment horizontal="center" vertical="distributed"/>
    </xf>
    <xf numFmtId="2" fontId="46" fillId="36" borderId="53" xfId="0" applyNumberFormat="1" applyFont="1" applyFill="1" applyBorder="1" applyAlignment="1">
      <alignment horizontal="center" vertical="distributed"/>
    </xf>
    <xf numFmtId="164" fontId="0" fillId="36" borderId="65" xfId="0" applyNumberFormat="1" applyFill="1" applyBorder="1" applyAlignment="1">
      <alignment horizontal="center" vertical="distributed"/>
    </xf>
    <xf numFmtId="1" fontId="0" fillId="36" borderId="50" xfId="0" applyNumberFormat="1" applyFill="1" applyBorder="1" applyAlignment="1">
      <alignment horizontal="center" vertical="distributed"/>
    </xf>
    <xf numFmtId="164" fontId="0" fillId="36" borderId="50" xfId="0" applyNumberFormat="1" applyFill="1" applyBorder="1" applyAlignment="1">
      <alignment horizontal="center" vertical="distributed"/>
    </xf>
    <xf numFmtId="2" fontId="0" fillId="36" borderId="65" xfId="0" applyNumberFormat="1" applyFill="1" applyBorder="1" applyAlignment="1">
      <alignment horizontal="center" vertical="distributed"/>
    </xf>
    <xf numFmtId="2" fontId="0" fillId="36" borderId="53" xfId="0" applyNumberFormat="1" applyFill="1" applyBorder="1" applyAlignment="1">
      <alignment horizontal="center" vertical="distributed"/>
    </xf>
    <xf numFmtId="165" fontId="0" fillId="36" borderId="50" xfId="0" applyNumberFormat="1" applyFill="1" applyBorder="1" applyAlignment="1">
      <alignment horizontal="center" vertical="distributed"/>
    </xf>
    <xf numFmtId="165" fontId="46" fillId="36" borderId="53" xfId="0" applyNumberFormat="1" applyFont="1" applyFill="1" applyBorder="1" applyAlignment="1">
      <alignment horizontal="center" vertical="distributed"/>
    </xf>
    <xf numFmtId="0" fontId="1" fillId="0" borderId="49" xfId="0" applyFont="1" applyBorder="1" applyAlignment="1">
      <alignment horizontal="left" vertical="distributed"/>
    </xf>
    <xf numFmtId="0" fontId="1" fillId="0" borderId="22" xfId="0" applyFont="1" applyBorder="1" applyAlignment="1" applyProtection="1">
      <alignment horizontal="center" vertical="distributed"/>
    </xf>
    <xf numFmtId="0" fontId="0" fillId="36" borderId="55" xfId="0" applyFill="1" applyBorder="1" applyAlignment="1">
      <alignment horizontal="center" vertical="distributed"/>
    </xf>
    <xf numFmtId="0" fontId="0" fillId="36" borderId="65" xfId="0" applyFill="1" applyBorder="1" applyAlignment="1">
      <alignment horizontal="center" vertical="distributed"/>
    </xf>
    <xf numFmtId="164" fontId="36" fillId="36" borderId="48" xfId="0" applyNumberFormat="1" applyFont="1" applyFill="1" applyBorder="1" applyAlignment="1" applyProtection="1">
      <alignment horizontal="center" vertical="center"/>
    </xf>
    <xf numFmtId="0" fontId="19" fillId="0" borderId="58" xfId="0" applyFont="1" applyBorder="1" applyAlignment="1">
      <alignment vertical="distributed"/>
    </xf>
    <xf numFmtId="1" fontId="46" fillId="36" borderId="50" xfId="0" applyNumberFormat="1" applyFont="1" applyFill="1" applyBorder="1" applyAlignment="1">
      <alignment horizontal="center" vertical="distributed"/>
    </xf>
    <xf numFmtId="2" fontId="0" fillId="36" borderId="50" xfId="0" applyNumberFormat="1" applyFill="1" applyBorder="1" applyAlignment="1">
      <alignment horizontal="center" vertical="distributed"/>
    </xf>
    <xf numFmtId="0" fontId="63" fillId="27" borderId="100" xfId="0" applyFont="1" applyFill="1" applyBorder="1" applyAlignment="1" applyProtection="1">
      <alignment horizontal="left" indent="1"/>
    </xf>
    <xf numFmtId="0" fontId="63" fillId="27" borderId="100" xfId="0" applyFont="1" applyFill="1" applyBorder="1" applyProtection="1"/>
    <xf numFmtId="0" fontId="26" fillId="0" borderId="0" xfId="0" applyFont="1"/>
    <xf numFmtId="2" fontId="46" fillId="0" borderId="0" xfId="0" applyNumberFormat="1" applyFont="1" applyAlignment="1">
      <alignment horizontal="center"/>
    </xf>
    <xf numFmtId="0" fontId="0" fillId="0" borderId="15" xfId="0" applyBorder="1"/>
    <xf numFmtId="0" fontId="0" fillId="0" borderId="21" xfId="0" applyBorder="1"/>
    <xf numFmtId="0" fontId="0" fillId="0" borderId="0" xfId="0" applyBorder="1" applyAlignment="1">
      <alignment horizontal="center"/>
    </xf>
    <xf numFmtId="0" fontId="0" fillId="0" borderId="0" xfId="0" applyFill="1" applyBorder="1"/>
    <xf numFmtId="164" fontId="0" fillId="0" borderId="15" xfId="0" applyNumberFormat="1" applyBorder="1" applyAlignment="1">
      <alignment horizontal="center"/>
    </xf>
    <xf numFmtId="164" fontId="0" fillId="0" borderId="0" xfId="0" applyNumberFormat="1" applyBorder="1" applyAlignment="1">
      <alignment horizontal="center"/>
    </xf>
    <xf numFmtId="2" fontId="0" fillId="0" borderId="21" xfId="0" applyNumberFormat="1" applyBorder="1" applyAlignment="1">
      <alignment horizontal="center"/>
    </xf>
    <xf numFmtId="164" fontId="0" fillId="0" borderId="21" xfId="0" applyNumberFormat="1" applyBorder="1" applyAlignment="1">
      <alignment horizontal="center"/>
    </xf>
    <xf numFmtId="0" fontId="2" fillId="0" borderId="90" xfId="0" applyFont="1" applyBorder="1" applyProtection="1"/>
    <xf numFmtId="0" fontId="2" fillId="0" borderId="38" xfId="0" applyFont="1" applyBorder="1" applyProtection="1"/>
    <xf numFmtId="1" fontId="2" fillId="30" borderId="36" xfId="0" applyNumberFormat="1" applyFont="1" applyFill="1" applyBorder="1" applyAlignment="1" applyProtection="1">
      <alignment horizontal="center" vertical="center"/>
      <protection locked="0"/>
    </xf>
    <xf numFmtId="165" fontId="27" fillId="0" borderId="101" xfId="0" applyNumberFormat="1" applyFont="1" applyFill="1" applyBorder="1" applyAlignment="1" applyProtection="1">
      <alignment horizontal="center"/>
    </xf>
    <xf numFmtId="0" fontId="19" fillId="0" borderId="102" xfId="0" applyFont="1" applyBorder="1" applyAlignment="1">
      <alignment horizontal="left" vertical="center" wrapText="1" indent="1"/>
    </xf>
    <xf numFmtId="0" fontId="0" fillId="0" borderId="33" xfId="0" applyBorder="1" applyAlignment="1">
      <alignment vertical="distributed"/>
    </xf>
    <xf numFmtId="1" fontId="0" fillId="36" borderId="65" xfId="0" applyNumberFormat="1" applyFill="1" applyBorder="1" applyAlignment="1">
      <alignment horizontal="center" vertical="distributed"/>
    </xf>
    <xf numFmtId="0" fontId="19" fillId="0" borderId="49" xfId="0" applyFont="1" applyBorder="1" applyAlignment="1">
      <alignment vertical="distributed"/>
    </xf>
    <xf numFmtId="0" fontId="19" fillId="0" borderId="22" xfId="0" applyFont="1" applyBorder="1" applyAlignment="1">
      <alignment horizontal="center" vertical="distributed"/>
    </xf>
    <xf numFmtId="1" fontId="19" fillId="36" borderId="22" xfId="0" applyNumberFormat="1" applyFont="1" applyFill="1" applyBorder="1" applyAlignment="1">
      <alignment horizontal="center" vertical="distributed"/>
    </xf>
    <xf numFmtId="1" fontId="19" fillId="36" borderId="50" xfId="0" applyNumberFormat="1" applyFont="1" applyFill="1" applyBorder="1" applyAlignment="1">
      <alignment horizontal="center" vertical="distributed"/>
    </xf>
    <xf numFmtId="2" fontId="39" fillId="0" borderId="0" xfId="0" applyNumberFormat="1" applyFont="1" applyFill="1" applyBorder="1" applyAlignment="1" applyProtection="1">
      <alignment horizontal="center" vertical="center"/>
    </xf>
    <xf numFmtId="164" fontId="40" fillId="38" borderId="50" xfId="0" applyNumberFormat="1" applyFont="1" applyFill="1" applyBorder="1" applyAlignment="1" applyProtection="1">
      <alignment horizontal="center" vertical="center"/>
    </xf>
    <xf numFmtId="1" fontId="50" fillId="40" borderId="65" xfId="0" applyNumberFormat="1" applyFont="1" applyFill="1" applyBorder="1" applyAlignment="1" applyProtection="1">
      <alignment horizontal="center" vertical="center"/>
      <protection locked="0"/>
    </xf>
    <xf numFmtId="1" fontId="50" fillId="40" borderId="50" xfId="0" applyNumberFormat="1" applyFont="1" applyFill="1" applyBorder="1" applyAlignment="1" applyProtection="1">
      <alignment horizontal="center" vertical="center"/>
      <protection locked="0"/>
    </xf>
    <xf numFmtId="164" fontId="50" fillId="40" borderId="50" xfId="0" applyNumberFormat="1" applyFont="1" applyFill="1" applyBorder="1" applyAlignment="1" applyProtection="1">
      <alignment horizontal="center" vertical="center"/>
      <protection locked="0"/>
    </xf>
    <xf numFmtId="164" fontId="0" fillId="0" borderId="0" xfId="0" applyNumberFormat="1" applyFill="1" applyAlignment="1" applyProtection="1">
      <alignment horizontal="center"/>
    </xf>
    <xf numFmtId="1" fontId="58" fillId="36" borderId="22" xfId="0" applyNumberFormat="1" applyFont="1" applyFill="1" applyBorder="1" applyAlignment="1" applyProtection="1">
      <alignment horizontal="center" vertical="center"/>
    </xf>
    <xf numFmtId="0" fontId="0" fillId="0" borderId="0" xfId="0" applyAlignment="1" applyProtection="1">
      <alignment horizontal="center" vertical="center"/>
    </xf>
    <xf numFmtId="1" fontId="58" fillId="36" borderId="24" xfId="0" applyNumberFormat="1" applyFont="1" applyFill="1" applyBorder="1" applyAlignment="1" applyProtection="1">
      <alignment horizontal="center" vertical="center"/>
    </xf>
    <xf numFmtId="2" fontId="0" fillId="27" borderId="0" xfId="0" applyNumberFormat="1" applyFill="1" applyBorder="1" applyAlignment="1" applyProtection="1">
      <alignment horizontal="center" vertical="center"/>
      <protection locked="0"/>
    </xf>
    <xf numFmtId="0" fontId="0" fillId="27" borderId="0" xfId="0" applyFill="1" applyBorder="1" applyAlignment="1" applyProtection="1">
      <alignment vertical="center"/>
      <protection locked="0"/>
    </xf>
    <xf numFmtId="0" fontId="0" fillId="27" borderId="0" xfId="0" applyFill="1" applyAlignment="1" applyProtection="1">
      <alignment vertical="center"/>
      <protection locked="0"/>
    </xf>
    <xf numFmtId="0" fontId="0" fillId="0" borderId="0" xfId="0" applyAlignment="1" applyProtection="1">
      <alignment vertical="center"/>
      <protection locked="0"/>
    </xf>
    <xf numFmtId="0" fontId="0" fillId="0" borderId="0" xfId="0" applyAlignment="1">
      <alignment vertical="center"/>
    </xf>
    <xf numFmtId="2" fontId="40" fillId="38" borderId="50" xfId="0" applyNumberFormat="1" applyFont="1" applyFill="1" applyBorder="1" applyAlignment="1" applyProtection="1">
      <alignment horizontal="center" vertical="center"/>
    </xf>
    <xf numFmtId="2" fontId="40" fillId="36" borderId="50" xfId="0" applyNumberFormat="1" applyFont="1" applyFill="1" applyBorder="1" applyAlignment="1" applyProtection="1">
      <alignment horizontal="center" vertical="center"/>
    </xf>
    <xf numFmtId="165" fontId="40" fillId="38" borderId="50" xfId="0" applyNumberFormat="1" applyFont="1" applyFill="1" applyBorder="1" applyAlignment="1" applyProtection="1">
      <alignment horizontal="center" vertical="center"/>
    </xf>
    <xf numFmtId="1" fontId="58" fillId="36" borderId="50" xfId="0" applyNumberFormat="1" applyFont="1" applyFill="1" applyBorder="1" applyAlignment="1" applyProtection="1">
      <alignment horizontal="center" vertical="center"/>
    </xf>
    <xf numFmtId="1" fontId="58" fillId="36" borderId="103" xfId="0" applyNumberFormat="1" applyFont="1" applyFill="1" applyBorder="1" applyAlignment="1" applyProtection="1">
      <alignment horizontal="center" vertical="center"/>
    </xf>
    <xf numFmtId="164" fontId="36" fillId="38" borderId="50" xfId="0" applyNumberFormat="1" applyFont="1" applyFill="1" applyBorder="1" applyAlignment="1" applyProtection="1">
      <alignment horizontal="center" vertical="center"/>
    </xf>
    <xf numFmtId="2" fontId="36" fillId="38" borderId="50" xfId="0" applyNumberFormat="1" applyFont="1" applyFill="1" applyBorder="1" applyAlignment="1" applyProtection="1">
      <alignment horizontal="center" vertical="center"/>
    </xf>
    <xf numFmtId="1" fontId="40" fillId="36" borderId="50" xfId="0" applyNumberFormat="1" applyFont="1" applyFill="1" applyBorder="1" applyAlignment="1" applyProtection="1">
      <alignment horizontal="center" vertical="center"/>
    </xf>
    <xf numFmtId="165" fontId="40" fillId="36" borderId="50" xfId="0" applyNumberFormat="1" applyFont="1" applyFill="1" applyBorder="1" applyAlignment="1" applyProtection="1">
      <alignment horizontal="center" vertical="center"/>
    </xf>
    <xf numFmtId="165" fontId="40" fillId="36" borderId="53" xfId="0" applyNumberFormat="1" applyFont="1" applyFill="1" applyBorder="1" applyAlignment="1" applyProtection="1">
      <alignment horizontal="center" vertical="center"/>
    </xf>
    <xf numFmtId="2" fontId="58" fillId="31" borderId="25" xfId="0" applyNumberFormat="1" applyFont="1" applyFill="1" applyBorder="1" applyAlignment="1" applyProtection="1">
      <alignment horizontal="center" vertical="center"/>
      <protection locked="0"/>
    </xf>
    <xf numFmtId="2" fontId="58" fillId="31" borderId="104" xfId="0" applyNumberFormat="1" applyFont="1" applyFill="1" applyBorder="1" applyAlignment="1" applyProtection="1">
      <alignment horizontal="center" vertical="center"/>
      <protection locked="0"/>
    </xf>
    <xf numFmtId="1" fontId="40" fillId="39" borderId="24" xfId="0" applyNumberFormat="1" applyFont="1" applyFill="1" applyBorder="1" applyAlignment="1" applyProtection="1">
      <alignment horizontal="center" vertical="center"/>
      <protection locked="0"/>
    </xf>
    <xf numFmtId="1" fontId="40" fillId="39" borderId="103" xfId="0" applyNumberFormat="1" applyFont="1" applyFill="1" applyBorder="1" applyAlignment="1" applyProtection="1">
      <alignment horizontal="center" vertical="center"/>
      <protection locked="0"/>
    </xf>
    <xf numFmtId="1" fontId="58" fillId="31" borderId="103" xfId="0" applyNumberFormat="1" applyFont="1" applyFill="1" applyBorder="1" applyAlignment="1" applyProtection="1">
      <alignment horizontal="center" vertical="center"/>
      <protection locked="0"/>
    </xf>
    <xf numFmtId="1" fontId="58" fillId="31" borderId="50" xfId="0" applyNumberFormat="1" applyFont="1" applyFill="1" applyBorder="1" applyAlignment="1" applyProtection="1">
      <alignment horizontal="center" vertical="center"/>
      <protection locked="0"/>
    </xf>
    <xf numFmtId="1" fontId="40" fillId="39" borderId="43" xfId="0" applyNumberFormat="1" applyFont="1" applyFill="1" applyBorder="1" applyAlignment="1" applyProtection="1">
      <alignment horizontal="center" vertical="center"/>
      <protection locked="0"/>
    </xf>
    <xf numFmtId="2" fontId="40" fillId="39" borderId="103" xfId="0" applyNumberFormat="1" applyFont="1" applyFill="1" applyBorder="1" applyAlignment="1" applyProtection="1">
      <alignment horizontal="center" vertical="center"/>
      <protection locked="0"/>
    </xf>
    <xf numFmtId="2" fontId="40" fillId="39" borderId="104" xfId="0" applyNumberFormat="1" applyFont="1" applyFill="1" applyBorder="1" applyAlignment="1" applyProtection="1">
      <alignment horizontal="center" vertical="center"/>
      <protection locked="0"/>
    </xf>
    <xf numFmtId="0" fontId="40" fillId="39" borderId="43" xfId="0" applyFont="1" applyFill="1" applyBorder="1" applyAlignment="1" applyProtection="1">
      <alignment horizontal="center" vertical="center"/>
      <protection locked="0"/>
    </xf>
    <xf numFmtId="0" fontId="0" fillId="0" borderId="0" xfId="0" applyAlignment="1" applyProtection="1">
      <alignment vertical="center"/>
    </xf>
    <xf numFmtId="165" fontId="58" fillId="36" borderId="50" xfId="0" applyNumberFormat="1" applyFont="1" applyFill="1" applyBorder="1" applyAlignment="1" applyProtection="1">
      <alignment horizontal="center" vertical="center"/>
    </xf>
    <xf numFmtId="164" fontId="40" fillId="39" borderId="105" xfId="0" applyNumberFormat="1" applyFont="1" applyFill="1" applyBorder="1" applyAlignment="1" applyProtection="1">
      <alignment horizontal="center" vertical="center"/>
      <protection locked="0"/>
    </xf>
    <xf numFmtId="1" fontId="40" fillId="38" borderId="53" xfId="0" applyNumberFormat="1" applyFont="1" applyFill="1" applyBorder="1" applyAlignment="1" applyProtection="1">
      <alignment horizontal="center" vertical="center"/>
    </xf>
    <xf numFmtId="2" fontId="36" fillId="38" borderId="53" xfId="0" applyNumberFormat="1" applyFont="1" applyFill="1" applyBorder="1" applyAlignment="1" applyProtection="1">
      <alignment horizontal="center" vertical="center"/>
    </xf>
    <xf numFmtId="164" fontId="40" fillId="38" borderId="22" xfId="0" applyNumberFormat="1" applyFont="1" applyFill="1" applyBorder="1" applyAlignment="1" applyProtection="1">
      <alignment horizontal="center" vertical="center"/>
    </xf>
    <xf numFmtId="1" fontId="40" fillId="39" borderId="104" xfId="0" applyNumberFormat="1" applyFont="1" applyFill="1" applyBorder="1" applyAlignment="1" applyProtection="1">
      <alignment horizontal="center" vertical="center"/>
      <protection locked="0"/>
    </xf>
    <xf numFmtId="1" fontId="58" fillId="31" borderId="104" xfId="0" applyNumberFormat="1" applyFont="1" applyFill="1" applyBorder="1" applyAlignment="1" applyProtection="1">
      <alignment horizontal="center" vertical="center"/>
      <protection locked="0"/>
    </xf>
    <xf numFmtId="164" fontId="40" fillId="36" borderId="50" xfId="0" applyNumberFormat="1" applyFont="1" applyFill="1" applyBorder="1" applyAlignment="1" applyProtection="1">
      <alignment horizontal="center" vertical="center"/>
    </xf>
    <xf numFmtId="0" fontId="21" fillId="0" borderId="0" xfId="0" applyFont="1" applyProtection="1"/>
    <xf numFmtId="0" fontId="33" fillId="1" borderId="0" xfId="0" applyFont="1" applyFill="1" applyAlignment="1" applyProtection="1">
      <alignment horizontal="left"/>
    </xf>
    <xf numFmtId="0" fontId="28" fillId="34" borderId="36" xfId="0" applyFont="1" applyFill="1" applyBorder="1" applyProtection="1"/>
    <xf numFmtId="0" fontId="27" fillId="34" borderId="36" xfId="0" applyFont="1" applyFill="1" applyBorder="1" applyProtection="1"/>
    <xf numFmtId="0" fontId="27" fillId="27" borderId="26" xfId="0" applyFont="1" applyFill="1" applyBorder="1" applyProtection="1"/>
    <xf numFmtId="0" fontId="27" fillId="27" borderId="27" xfId="0" applyFont="1" applyFill="1" applyBorder="1" applyProtection="1"/>
    <xf numFmtId="0" fontId="28" fillId="0" borderId="38" xfId="0" applyFont="1" applyBorder="1" applyProtection="1"/>
    <xf numFmtId="0" fontId="27" fillId="0" borderId="38" xfId="0" applyFont="1" applyBorder="1" applyProtection="1"/>
    <xf numFmtId="0" fontId="27" fillId="0" borderId="37" xfId="0" applyFont="1" applyBorder="1" applyProtection="1"/>
    <xf numFmtId="0" fontId="27" fillId="30" borderId="36" xfId="0" applyFont="1" applyFill="1" applyBorder="1" applyAlignment="1" applyProtection="1">
      <alignment horizontal="center"/>
    </xf>
    <xf numFmtId="1" fontId="2" fillId="30" borderId="36" xfId="0" applyNumberFormat="1" applyFont="1" applyFill="1" applyBorder="1" applyAlignment="1" applyProtection="1">
      <alignment horizontal="center" vertical="center"/>
    </xf>
    <xf numFmtId="0" fontId="26" fillId="1" borderId="0" xfId="0" applyFont="1" applyFill="1" applyBorder="1" applyAlignment="1" applyProtection="1">
      <alignment horizontal="right"/>
    </xf>
    <xf numFmtId="0" fontId="26" fillId="1" borderId="0" xfId="0" applyFont="1" applyFill="1" applyBorder="1" applyAlignment="1" applyProtection="1">
      <alignment horizontal="left"/>
    </xf>
    <xf numFmtId="0" fontId="26" fillId="1" borderId="0" xfId="0" applyFont="1" applyFill="1" applyAlignment="1" applyProtection="1">
      <alignment horizontal="right"/>
    </xf>
    <xf numFmtId="0" fontId="0" fillId="0" borderId="33" xfId="0" applyBorder="1" applyProtection="1"/>
    <xf numFmtId="0" fontId="33" fillId="1" borderId="0" xfId="0" applyFont="1" applyFill="1" applyBorder="1" applyAlignment="1" applyProtection="1">
      <alignment horizontal="left"/>
    </xf>
    <xf numFmtId="0" fontId="0" fillId="0" borderId="100" xfId="0" applyBorder="1" applyProtection="1"/>
    <xf numFmtId="2" fontId="63" fillId="27" borderId="100" xfId="0" applyNumberFormat="1" applyFont="1" applyFill="1" applyBorder="1" applyAlignment="1" applyProtection="1">
      <alignment horizontal="center"/>
    </xf>
    <xf numFmtId="2" fontId="46" fillId="36" borderId="22" xfId="0" applyNumberFormat="1" applyFont="1" applyFill="1" applyBorder="1" applyAlignment="1">
      <alignment horizontal="center" vertical="distributed"/>
    </xf>
    <xf numFmtId="2" fontId="46" fillId="36" borderId="50" xfId="0" applyNumberFormat="1" applyFont="1" applyFill="1" applyBorder="1" applyAlignment="1">
      <alignment horizontal="center" vertical="distributed"/>
    </xf>
    <xf numFmtId="0" fontId="20" fillId="0" borderId="0" xfId="0" applyFont="1" applyAlignment="1">
      <alignment wrapText="1"/>
    </xf>
    <xf numFmtId="0" fontId="0" fillId="0" borderId="0" xfId="0" applyAlignment="1">
      <alignment wrapText="1"/>
    </xf>
    <xf numFmtId="0" fontId="0" fillId="0" borderId="0" xfId="0" applyAlignment="1" applyProtection="1">
      <alignment horizontal="left" vertical="center" indent="1"/>
    </xf>
    <xf numFmtId="0" fontId="19" fillId="0" borderId="0" xfId="0" applyFont="1" applyAlignment="1" applyProtection="1">
      <alignment horizontal="left" vertical="center" indent="1"/>
    </xf>
    <xf numFmtId="0" fontId="1" fillId="0" borderId="0" xfId="0" applyFont="1" applyAlignment="1" applyProtection="1">
      <alignment horizontal="left" vertical="center" indent="1"/>
    </xf>
    <xf numFmtId="0" fontId="0" fillId="27" borderId="0" xfId="0" applyFill="1" applyAlignment="1" applyProtection="1">
      <alignment vertical="center"/>
    </xf>
    <xf numFmtId="0" fontId="48" fillId="27" borderId="0" xfId="0" applyFont="1" applyFill="1" applyAlignment="1" applyProtection="1">
      <alignment vertical="center"/>
    </xf>
    <xf numFmtId="0" fontId="48" fillId="0" borderId="0" xfId="0" applyFont="1" applyAlignment="1" applyProtection="1">
      <alignment vertical="center"/>
    </xf>
    <xf numFmtId="0" fontId="48" fillId="0" borderId="0" xfId="0" applyFont="1" applyAlignment="1">
      <alignment vertical="center"/>
    </xf>
    <xf numFmtId="0" fontId="0" fillId="27" borderId="0" xfId="0" applyFill="1" applyAlignment="1" applyProtection="1">
      <alignment horizontal="center" vertical="center"/>
    </xf>
    <xf numFmtId="0" fontId="0" fillId="0" borderId="0" xfId="0" applyAlignment="1">
      <alignment horizontal="center" vertical="center"/>
    </xf>
    <xf numFmtId="2" fontId="0" fillId="27" borderId="0" xfId="0" applyNumberFormat="1" applyFill="1" applyAlignment="1" applyProtection="1">
      <alignment horizontal="center" vertical="center"/>
    </xf>
    <xf numFmtId="2" fontId="0" fillId="0" borderId="0" xfId="0" applyNumberFormat="1" applyAlignment="1" applyProtection="1">
      <alignment horizontal="center" vertical="center"/>
    </xf>
    <xf numFmtId="2" fontId="0" fillId="0" borderId="0" xfId="0" applyNumberFormat="1" applyAlignment="1">
      <alignment horizontal="center" vertical="center"/>
    </xf>
    <xf numFmtId="2" fontId="59" fillId="0" borderId="0" xfId="0" applyNumberFormat="1" applyFont="1" applyAlignment="1" applyProtection="1">
      <alignment horizontal="center" vertical="center"/>
    </xf>
    <xf numFmtId="2" fontId="59" fillId="0" borderId="0" xfId="0" applyNumberFormat="1" applyFont="1" applyAlignment="1">
      <alignment horizontal="center" vertical="center"/>
    </xf>
    <xf numFmtId="0" fontId="59" fillId="0" borderId="0" xfId="0" applyFont="1" applyAlignment="1">
      <alignment vertical="center"/>
    </xf>
    <xf numFmtId="164" fontId="0" fillId="0" borderId="0" xfId="0" applyNumberFormat="1" applyAlignment="1">
      <alignment horizontal="center" vertical="center"/>
    </xf>
    <xf numFmtId="165" fontId="0" fillId="0" borderId="0" xfId="0" applyNumberFormat="1" applyAlignment="1">
      <alignment horizontal="center" vertical="center"/>
    </xf>
    <xf numFmtId="0" fontId="40" fillId="27" borderId="0" xfId="0" applyFont="1" applyFill="1" applyAlignment="1" applyProtection="1">
      <alignment horizontal="center" vertical="center"/>
    </xf>
    <xf numFmtId="2" fontId="40" fillId="27" borderId="0" xfId="0" applyNumberFormat="1" applyFont="1" applyFill="1" applyAlignment="1" applyProtection="1">
      <alignment horizontal="center" vertical="center"/>
    </xf>
    <xf numFmtId="1" fontId="0" fillId="27" borderId="0" xfId="0" applyNumberFormat="1" applyFill="1" applyAlignment="1" applyProtection="1">
      <alignment horizontal="center" vertical="center"/>
    </xf>
    <xf numFmtId="1" fontId="58" fillId="27" borderId="0" xfId="0" applyNumberFormat="1" applyFont="1" applyFill="1" applyAlignment="1" applyProtection="1">
      <alignment horizontal="center" vertical="center"/>
    </xf>
    <xf numFmtId="1" fontId="58" fillId="0" borderId="0" xfId="0" applyNumberFormat="1" applyFont="1" applyAlignment="1" applyProtection="1">
      <alignment horizontal="center" vertical="center"/>
    </xf>
    <xf numFmtId="1" fontId="0" fillId="0" borderId="0" xfId="0" applyNumberFormat="1" applyAlignment="1">
      <alignment horizontal="center" vertical="center"/>
    </xf>
    <xf numFmtId="164" fontId="0" fillId="27" borderId="0" xfId="0" applyNumberFormat="1" applyFill="1" applyAlignment="1" applyProtection="1">
      <alignment horizontal="center" vertical="center"/>
    </xf>
    <xf numFmtId="164" fontId="58" fillId="27" borderId="0" xfId="0" applyNumberFormat="1" applyFont="1" applyFill="1" applyAlignment="1" applyProtection="1">
      <alignment horizontal="center" vertical="center"/>
    </xf>
    <xf numFmtId="164" fontId="58" fillId="0" borderId="0" xfId="0" applyNumberFormat="1" applyFont="1" applyAlignment="1" applyProtection="1">
      <alignment horizontal="center" vertical="center"/>
    </xf>
    <xf numFmtId="1" fontId="40" fillId="27" borderId="0" xfId="0" applyNumberFormat="1" applyFont="1" applyFill="1" applyAlignment="1" applyProtection="1">
      <alignment horizontal="center" vertical="center"/>
    </xf>
    <xf numFmtId="1" fontId="0" fillId="0" borderId="0" xfId="0" applyNumberFormat="1" applyAlignment="1" applyProtection="1">
      <alignment horizontal="center" vertical="center"/>
    </xf>
    <xf numFmtId="1"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164" fontId="0" fillId="0" borderId="0" xfId="0" applyNumberFormat="1" applyAlignment="1" applyProtection="1">
      <alignment horizontal="center" vertical="center"/>
    </xf>
    <xf numFmtId="165" fontId="0" fillId="27" borderId="0" xfId="0" applyNumberFormat="1" applyFill="1" applyAlignment="1" applyProtection="1">
      <alignment horizontal="center" vertical="center"/>
    </xf>
    <xf numFmtId="1" fontId="27" fillId="27" borderId="0" xfId="0" applyNumberFormat="1" applyFont="1" applyFill="1" applyBorder="1" applyAlignment="1" applyProtection="1">
      <alignment horizontal="center" vertical="center"/>
    </xf>
    <xf numFmtId="0" fontId="27" fillId="27" borderId="0" xfId="0" applyFont="1" applyFill="1" applyBorder="1" applyAlignment="1" applyProtection="1">
      <alignment horizontal="center" vertical="center"/>
    </xf>
    <xf numFmtId="165" fontId="0" fillId="0" borderId="0" xfId="0" applyNumberFormat="1" applyAlignment="1" applyProtection="1">
      <alignment horizontal="center" vertical="center"/>
    </xf>
    <xf numFmtId="0" fontId="27" fillId="27" borderId="0" xfId="0" applyFont="1" applyFill="1" applyAlignment="1" applyProtection="1">
      <alignment horizontal="center" vertical="center"/>
    </xf>
    <xf numFmtId="1" fontId="27" fillId="27" borderId="0" xfId="0" applyNumberFormat="1" applyFont="1" applyFill="1" applyAlignment="1" applyProtection="1">
      <alignment horizontal="center" vertical="center"/>
    </xf>
    <xf numFmtId="164" fontId="27" fillId="27" borderId="0" xfId="0" applyNumberFormat="1" applyFont="1" applyFill="1" applyAlignment="1" applyProtection="1">
      <alignment horizontal="center" vertical="center"/>
    </xf>
    <xf numFmtId="164" fontId="66" fillId="36" borderId="103" xfId="0" applyNumberFormat="1" applyFont="1" applyFill="1" applyBorder="1" applyAlignment="1" applyProtection="1">
      <alignment horizontal="center" vertical="center" wrapText="1"/>
    </xf>
    <xf numFmtId="164" fontId="66" fillId="31" borderId="24" xfId="0" applyNumberFormat="1" applyFont="1" applyFill="1" applyBorder="1" applyAlignment="1" applyProtection="1">
      <alignment horizontal="center" vertical="center" wrapText="1"/>
      <protection locked="0"/>
    </xf>
    <xf numFmtId="164" fontId="66" fillId="31" borderId="103" xfId="0" applyNumberFormat="1" applyFont="1" applyFill="1" applyBorder="1" applyAlignment="1" applyProtection="1">
      <alignment horizontal="center" vertical="center" wrapText="1"/>
      <protection locked="0"/>
    </xf>
    <xf numFmtId="164" fontId="40" fillId="36" borderId="24" xfId="0" applyNumberFormat="1" applyFont="1" applyFill="1" applyBorder="1" applyAlignment="1" applyProtection="1">
      <alignment horizontal="center" vertical="center"/>
    </xf>
    <xf numFmtId="164" fontId="40" fillId="36" borderId="103" xfId="0" applyNumberFormat="1" applyFont="1" applyFill="1" applyBorder="1" applyAlignment="1" applyProtection="1">
      <alignment horizontal="center" vertical="center"/>
    </xf>
    <xf numFmtId="0" fontId="40" fillId="27" borderId="0" xfId="0" applyFont="1" applyFill="1" applyBorder="1" applyAlignment="1" applyProtection="1">
      <alignment horizontal="center" vertical="center"/>
    </xf>
    <xf numFmtId="0" fontId="40" fillId="27" borderId="0" xfId="0" applyFont="1" applyFill="1" applyAlignment="1" applyProtection="1">
      <alignment vertical="center"/>
    </xf>
    <xf numFmtId="0" fontId="0" fillId="0" borderId="0" xfId="0" applyFill="1" applyAlignment="1" applyProtection="1">
      <alignment vertical="center"/>
    </xf>
    <xf numFmtId="0" fontId="0" fillId="0" borderId="0" xfId="0" applyFill="1" applyAlignment="1" applyProtection="1">
      <alignment horizontal="center" vertical="center"/>
    </xf>
    <xf numFmtId="164" fontId="0" fillId="0" borderId="0" xfId="0" applyNumberFormat="1" applyFill="1" applyAlignment="1" applyProtection="1">
      <alignment horizontal="center" vertical="center"/>
    </xf>
    <xf numFmtId="2" fontId="58" fillId="27" borderId="0" xfId="0" applyNumberFormat="1" applyFont="1" applyFill="1" applyBorder="1" applyAlignment="1" applyProtection="1">
      <alignment horizontal="center" vertical="center"/>
    </xf>
    <xf numFmtId="2" fontId="58" fillId="0" borderId="0" xfId="0" applyNumberFormat="1" applyFont="1" applyFill="1" applyBorder="1" applyAlignment="1" applyProtection="1">
      <alignment horizontal="center" vertical="center"/>
    </xf>
    <xf numFmtId="0" fontId="58" fillId="27" borderId="0" xfId="0" applyFont="1" applyFill="1" applyBorder="1" applyAlignment="1" applyProtection="1">
      <alignment horizontal="center" vertical="center"/>
    </xf>
    <xf numFmtId="0" fontId="58" fillId="0" borderId="0" xfId="0" applyFont="1" applyFill="1" applyBorder="1" applyAlignment="1" applyProtection="1">
      <alignment horizontal="center" vertical="center"/>
    </xf>
    <xf numFmtId="164" fontId="58" fillId="36" borderId="22" xfId="0" applyNumberFormat="1" applyFont="1" applyFill="1" applyBorder="1" applyAlignment="1" applyProtection="1">
      <alignment horizontal="center" vertical="center"/>
    </xf>
    <xf numFmtId="164" fontId="58" fillId="36" borderId="50" xfId="0" applyNumberFormat="1" applyFont="1" applyFill="1" applyBorder="1" applyAlignment="1" applyProtection="1">
      <alignment horizontal="center" vertical="center"/>
    </xf>
    <xf numFmtId="1" fontId="58" fillId="27" borderId="0" xfId="0" applyNumberFormat="1" applyFont="1" applyFill="1" applyBorder="1" applyAlignment="1" applyProtection="1">
      <alignment horizontal="center" vertical="center"/>
    </xf>
    <xf numFmtId="1" fontId="58" fillId="0" borderId="0" xfId="0" applyNumberFormat="1" applyFont="1" applyFill="1" applyBorder="1" applyAlignment="1" applyProtection="1">
      <alignment horizontal="center" vertical="center"/>
    </xf>
    <xf numFmtId="2" fontId="36" fillId="38" borderId="47" xfId="0" applyNumberFormat="1" applyFont="1" applyFill="1" applyBorder="1" applyAlignment="1" applyProtection="1">
      <alignment horizontal="center" vertical="center"/>
    </xf>
    <xf numFmtId="2" fontId="45" fillId="38" borderId="48" xfId="0" applyNumberFormat="1" applyFont="1" applyFill="1" applyBorder="1" applyAlignment="1" applyProtection="1">
      <alignment horizontal="center" vertical="center"/>
    </xf>
    <xf numFmtId="1" fontId="40" fillId="40" borderId="52" xfId="0" applyNumberFormat="1" applyFont="1" applyFill="1" applyBorder="1" applyAlignment="1" applyProtection="1">
      <alignment horizontal="center" vertical="center"/>
      <protection locked="0"/>
    </xf>
    <xf numFmtId="164" fontId="36" fillId="36" borderId="47" xfId="0" applyNumberFormat="1" applyFont="1" applyFill="1" applyBorder="1" applyAlignment="1" applyProtection="1">
      <alignment horizontal="center" vertical="center"/>
    </xf>
    <xf numFmtId="164" fontId="40" fillId="36" borderId="22" xfId="0" applyNumberFormat="1" applyFont="1" applyFill="1" applyBorder="1" applyAlignment="1" applyProtection="1">
      <alignment horizontal="center" vertical="center"/>
    </xf>
    <xf numFmtId="2" fontId="58" fillId="31" borderId="50" xfId="0" applyNumberFormat="1" applyFont="1" applyFill="1" applyBorder="1" applyAlignment="1" applyProtection="1">
      <alignment horizontal="center" vertical="center"/>
      <protection locked="0"/>
    </xf>
    <xf numFmtId="2" fontId="67" fillId="36" borderId="22" xfId="0" applyNumberFormat="1" applyFont="1" applyFill="1" applyBorder="1" applyAlignment="1">
      <alignment horizontal="center" vertical="distributed"/>
    </xf>
    <xf numFmtId="2" fontId="67" fillId="36" borderId="50" xfId="0" applyNumberFormat="1" applyFont="1" applyFill="1" applyBorder="1" applyAlignment="1">
      <alignment horizontal="center" vertical="distributed"/>
    </xf>
    <xf numFmtId="165" fontId="28" fillId="31" borderId="0" xfId="0" applyNumberFormat="1" applyFont="1" applyFill="1" applyAlignment="1" applyProtection="1">
      <alignment horizontal="center"/>
    </xf>
    <xf numFmtId="165" fontId="2" fillId="31" borderId="0" xfId="0" applyNumberFormat="1" applyFont="1" applyFill="1" applyAlignment="1">
      <alignment horizontal="center"/>
    </xf>
    <xf numFmtId="165" fontId="27" fillId="32" borderId="0" xfId="0" applyNumberFormat="1" applyFont="1" applyFill="1" applyAlignment="1" applyProtection="1">
      <alignment horizontal="center"/>
    </xf>
    <xf numFmtId="166" fontId="27" fillId="0" borderId="21" xfId="0" applyNumberFormat="1" applyFont="1" applyBorder="1" applyAlignment="1" applyProtection="1">
      <alignment horizontal="center"/>
    </xf>
    <xf numFmtId="0" fontId="1" fillId="0" borderId="0" xfId="0" applyFont="1" applyAlignment="1" applyProtection="1">
      <alignment horizontal="left" indent="1"/>
    </xf>
    <xf numFmtId="0" fontId="67" fillId="0" borderId="0" xfId="0" applyFont="1" applyAlignment="1">
      <alignment horizontal="left" indent="1"/>
    </xf>
    <xf numFmtId="165" fontId="2" fillId="31" borderId="0" xfId="0" applyNumberFormat="1" applyFont="1" applyFill="1" applyAlignment="1" applyProtection="1">
      <alignment horizontal="center"/>
    </xf>
    <xf numFmtId="166" fontId="27" fillId="31" borderId="0" xfId="0" applyNumberFormat="1" applyFont="1" applyFill="1" applyAlignment="1" applyProtection="1">
      <alignment horizontal="center"/>
    </xf>
    <xf numFmtId="168" fontId="27" fillId="31" borderId="0" xfId="0" applyNumberFormat="1" applyFont="1" applyFill="1" applyAlignment="1" applyProtection="1">
      <alignment horizontal="center"/>
    </xf>
    <xf numFmtId="165" fontId="2" fillId="41" borderId="0" xfId="0" applyNumberFormat="1" applyFont="1" applyFill="1" applyAlignment="1" applyProtection="1">
      <alignment horizontal="center"/>
    </xf>
    <xf numFmtId="166" fontId="27" fillId="41" borderId="0" xfId="0" applyNumberFormat="1" applyFont="1" applyFill="1" applyAlignment="1" applyProtection="1">
      <alignment horizontal="center"/>
    </xf>
    <xf numFmtId="0" fontId="28" fillId="41" borderId="0" xfId="0" applyFont="1" applyFill="1" applyAlignment="1" applyProtection="1">
      <alignment horizontal="center"/>
    </xf>
    <xf numFmtId="167" fontId="27" fillId="41" borderId="0" xfId="0" applyNumberFormat="1" applyFont="1" applyFill="1" applyAlignment="1" applyProtection="1">
      <alignment horizontal="center"/>
    </xf>
    <xf numFmtId="0" fontId="30" fillId="41" borderId="0" xfId="0" applyFont="1" applyFill="1" applyAlignment="1" applyProtection="1">
      <alignment horizontal="center"/>
    </xf>
    <xf numFmtId="166" fontId="2" fillId="41" borderId="0" xfId="0" applyNumberFormat="1" applyFont="1" applyFill="1" applyAlignment="1" applyProtection="1">
      <alignment horizontal="center"/>
    </xf>
    <xf numFmtId="167" fontId="2" fillId="41" borderId="0" xfId="0" applyNumberFormat="1" applyFont="1" applyFill="1" applyAlignment="1" applyProtection="1">
      <alignment horizontal="center"/>
    </xf>
    <xf numFmtId="0" fontId="2" fillId="33" borderId="49" xfId="0" applyFont="1" applyFill="1" applyBorder="1" applyProtection="1"/>
    <xf numFmtId="0" fontId="2" fillId="33" borderId="14" xfId="0" applyFont="1" applyFill="1" applyBorder="1" applyAlignment="1" applyProtection="1">
      <alignment horizontal="center"/>
    </xf>
    <xf numFmtId="1" fontId="2" fillId="33" borderId="42" xfId="0" applyNumberFormat="1" applyFont="1" applyFill="1" applyBorder="1" applyAlignment="1" applyProtection="1">
      <alignment horizontal="center"/>
    </xf>
    <xf numFmtId="1" fontId="2" fillId="33" borderId="22" xfId="0" applyNumberFormat="1" applyFont="1" applyFill="1" applyBorder="1" applyAlignment="1" applyProtection="1">
      <alignment horizontal="center"/>
    </xf>
    <xf numFmtId="1" fontId="2" fillId="33" borderId="106" xfId="0" applyNumberFormat="1" applyFont="1" applyFill="1" applyBorder="1" applyAlignment="1" applyProtection="1">
      <alignment horizontal="center"/>
    </xf>
    <xf numFmtId="1" fontId="2" fillId="33" borderId="106" xfId="0" applyNumberFormat="1" applyFont="1" applyFill="1" applyBorder="1" applyAlignment="1" applyProtection="1">
      <alignment horizontal="center"/>
      <protection locked="0"/>
    </xf>
    <xf numFmtId="1" fontId="2" fillId="33" borderId="22" xfId="0" applyNumberFormat="1" applyFont="1" applyFill="1" applyBorder="1" applyAlignment="1" applyProtection="1">
      <alignment horizontal="center"/>
      <protection locked="0"/>
    </xf>
    <xf numFmtId="0" fontId="28" fillId="0" borderId="49" xfId="0" applyFont="1" applyFill="1" applyBorder="1" applyProtection="1"/>
    <xf numFmtId="0" fontId="28" fillId="0" borderId="14" xfId="0" applyFont="1" applyFill="1" applyBorder="1" applyAlignment="1" applyProtection="1">
      <alignment horizontal="center"/>
    </xf>
    <xf numFmtId="1" fontId="28" fillId="33" borderId="106" xfId="0" applyNumberFormat="1" applyFont="1" applyFill="1" applyBorder="1" applyAlignment="1" applyProtection="1">
      <alignment horizontal="center"/>
    </xf>
    <xf numFmtId="1" fontId="28" fillId="0" borderId="22" xfId="0" applyNumberFormat="1" applyFont="1" applyFill="1" applyBorder="1" applyAlignment="1" applyProtection="1">
      <alignment horizontal="center"/>
    </xf>
    <xf numFmtId="1" fontId="28" fillId="33" borderId="22" xfId="0" applyNumberFormat="1" applyFont="1" applyFill="1" applyBorder="1" applyAlignment="1" applyProtection="1">
      <alignment horizontal="center"/>
    </xf>
    <xf numFmtId="0" fontId="2" fillId="1" borderId="0" xfId="0" applyFont="1" applyFill="1" applyBorder="1" applyProtection="1"/>
    <xf numFmtId="0" fontId="2" fillId="0" borderId="90" xfId="0" applyFont="1" applyFill="1" applyBorder="1" applyAlignment="1" applyProtection="1">
      <alignment horizontal="center"/>
    </xf>
    <xf numFmtId="164" fontId="2" fillId="0" borderId="43" xfId="0" applyNumberFormat="1" applyFont="1" applyFill="1" applyBorder="1" applyAlignment="1" applyProtection="1">
      <alignment horizontal="center"/>
    </xf>
    <xf numFmtId="0" fontId="2" fillId="0" borderId="90" xfId="0" applyFont="1" applyFill="1" applyBorder="1" applyAlignment="1">
      <alignment horizontal="center"/>
    </xf>
    <xf numFmtId="1" fontId="2" fillId="0" borderId="43" xfId="0" applyNumberFormat="1" applyFont="1" applyFill="1" applyBorder="1" applyAlignment="1" applyProtection="1">
      <alignment horizontal="center"/>
    </xf>
    <xf numFmtId="0" fontId="2" fillId="0" borderId="28" xfId="0" applyFont="1" applyFill="1" applyBorder="1" applyAlignment="1">
      <alignment vertical="center"/>
    </xf>
    <xf numFmtId="0" fontId="1" fillId="0" borderId="0" xfId="0" applyFont="1" applyFill="1" applyBorder="1" applyAlignment="1">
      <alignment vertical="center"/>
    </xf>
    <xf numFmtId="164" fontId="2" fillId="0" borderId="50" xfId="0" applyNumberFormat="1" applyFont="1" applyFill="1" applyBorder="1" applyAlignment="1">
      <alignment horizontal="center" vertical="center"/>
    </xf>
    <xf numFmtId="0" fontId="2" fillId="0" borderId="36" xfId="0" applyFont="1" applyFill="1" applyBorder="1" applyAlignment="1" applyProtection="1">
      <alignment vertical="center"/>
    </xf>
    <xf numFmtId="0" fontId="2" fillId="0" borderId="90" xfId="0" applyFont="1" applyFill="1" applyBorder="1" applyAlignment="1" applyProtection="1">
      <alignment vertical="center"/>
    </xf>
    <xf numFmtId="164" fontId="2" fillId="0" borderId="43" xfId="0" applyNumberFormat="1" applyFont="1" applyFill="1" applyBorder="1" applyAlignment="1" applyProtection="1">
      <alignment horizontal="center" vertical="center"/>
    </xf>
    <xf numFmtId="0" fontId="2" fillId="0" borderId="29" xfId="0" applyFont="1" applyFill="1" applyBorder="1" applyAlignment="1" applyProtection="1">
      <alignment vertical="center"/>
    </xf>
    <xf numFmtId="164" fontId="2" fillId="0" borderId="104" xfId="0" applyNumberFormat="1" applyFont="1" applyFill="1" applyBorder="1" applyAlignment="1" applyProtection="1">
      <alignment horizontal="center" vertical="center"/>
    </xf>
    <xf numFmtId="0" fontId="2" fillId="34" borderId="36" xfId="0" applyFont="1" applyFill="1" applyBorder="1" applyProtection="1"/>
    <xf numFmtId="0" fontId="2" fillId="34" borderId="36" xfId="0" applyFont="1" applyFill="1" applyBorder="1" applyAlignment="1" applyProtection="1">
      <alignment horizontal="right"/>
    </xf>
    <xf numFmtId="164" fontId="2" fillId="34" borderId="36" xfId="0" applyNumberFormat="1" applyFont="1" applyFill="1" applyBorder="1" applyAlignment="1" applyProtection="1">
      <alignment horizontal="center"/>
    </xf>
    <xf numFmtId="9" fontId="68" fillId="27" borderId="44" xfId="0" applyNumberFormat="1" applyFont="1" applyFill="1" applyBorder="1" applyAlignment="1" applyProtection="1">
      <alignment horizontal="right"/>
    </xf>
    <xf numFmtId="0" fontId="68" fillId="27" borderId="37" xfId="0" applyFont="1" applyFill="1" applyBorder="1" applyProtection="1"/>
    <xf numFmtId="1" fontId="27" fillId="27" borderId="22" xfId="0" applyNumberFormat="1" applyFont="1" applyFill="1" applyBorder="1" applyAlignment="1" applyProtection="1">
      <alignment horizontal="center"/>
    </xf>
    <xf numFmtId="165" fontId="27" fillId="27" borderId="22" xfId="0" applyNumberFormat="1" applyFont="1" applyFill="1" applyBorder="1" applyAlignment="1" applyProtection="1">
      <alignment horizontal="center"/>
    </xf>
    <xf numFmtId="1" fontId="33" fillId="27" borderId="22" xfId="0" applyNumberFormat="1" applyFont="1" applyFill="1" applyBorder="1" applyAlignment="1" applyProtection="1">
      <alignment horizontal="center"/>
    </xf>
    <xf numFmtId="2" fontId="27" fillId="27" borderId="22" xfId="0" applyNumberFormat="1" applyFont="1" applyFill="1" applyBorder="1" applyAlignment="1" applyProtection="1">
      <alignment horizontal="center"/>
    </xf>
    <xf numFmtId="165" fontId="27" fillId="27" borderId="66" xfId="0" applyNumberFormat="1" applyFont="1" applyFill="1" applyBorder="1" applyAlignment="1" applyProtection="1">
      <alignment horizontal="center"/>
    </xf>
    <xf numFmtId="1" fontId="28" fillId="27" borderId="22" xfId="0" applyNumberFormat="1" applyFont="1" applyFill="1" applyBorder="1" applyAlignment="1" applyProtection="1">
      <alignment horizontal="center"/>
    </xf>
    <xf numFmtId="165" fontId="27" fillId="33" borderId="22" xfId="0" applyNumberFormat="1" applyFont="1" applyFill="1" applyBorder="1" applyAlignment="1" applyProtection="1">
      <alignment horizontal="center"/>
    </xf>
    <xf numFmtId="1" fontId="27" fillId="33" borderId="22" xfId="0" applyNumberFormat="1" applyFont="1" applyFill="1" applyBorder="1" applyAlignment="1" applyProtection="1">
      <alignment horizontal="center"/>
    </xf>
    <xf numFmtId="1" fontId="33" fillId="33" borderId="22" xfId="0" applyNumberFormat="1" applyFont="1" applyFill="1" applyBorder="1" applyAlignment="1" applyProtection="1">
      <alignment horizontal="center"/>
    </xf>
    <xf numFmtId="2" fontId="27" fillId="33" borderId="22" xfId="0" applyNumberFormat="1" applyFont="1" applyFill="1" applyBorder="1" applyAlignment="1" applyProtection="1">
      <alignment horizontal="center"/>
    </xf>
    <xf numFmtId="165" fontId="27" fillId="33" borderId="66" xfId="0" applyNumberFormat="1" applyFont="1" applyFill="1" applyBorder="1" applyAlignment="1" applyProtection="1">
      <alignment horizontal="center"/>
    </xf>
    <xf numFmtId="164" fontId="28" fillId="33" borderId="55" xfId="0" applyNumberFormat="1" applyFont="1" applyFill="1" applyBorder="1" applyAlignment="1" applyProtection="1">
      <alignment horizontal="center"/>
    </xf>
    <xf numFmtId="166" fontId="27" fillId="33" borderId="22" xfId="0" applyNumberFormat="1" applyFont="1" applyFill="1" applyBorder="1" applyAlignment="1" applyProtection="1">
      <alignment horizontal="center"/>
    </xf>
    <xf numFmtId="1" fontId="2" fillId="0" borderId="21" xfId="0" applyNumberFormat="1" applyFont="1" applyFill="1" applyBorder="1" applyAlignment="1" applyProtection="1">
      <alignment horizontal="center"/>
    </xf>
    <xf numFmtId="1" fontId="2" fillId="0" borderId="21" xfId="0" applyNumberFormat="1" applyFont="1" applyBorder="1" applyAlignment="1" applyProtection="1">
      <alignment horizontal="center"/>
    </xf>
    <xf numFmtId="1" fontId="28" fillId="0" borderId="21" xfId="0" applyNumberFormat="1" applyFont="1" applyBorder="1" applyAlignment="1" applyProtection="1">
      <alignment horizontal="center"/>
    </xf>
    <xf numFmtId="0" fontId="27" fillId="0" borderId="107" xfId="0" applyFont="1" applyBorder="1" applyAlignment="1" applyProtection="1">
      <alignment horizontal="center"/>
    </xf>
    <xf numFmtId="0" fontId="19" fillId="0" borderId="14" xfId="0" applyFont="1" applyBorder="1" applyAlignment="1" applyProtection="1">
      <alignment horizontal="center"/>
    </xf>
    <xf numFmtId="0" fontId="27" fillId="0" borderId="69" xfId="0" applyFont="1" applyBorder="1" applyAlignment="1" applyProtection="1">
      <alignment horizontal="center"/>
    </xf>
    <xf numFmtId="164" fontId="28" fillId="33" borderId="108" xfId="0" applyNumberFormat="1" applyFont="1" applyFill="1" applyBorder="1" applyAlignment="1" applyProtection="1">
      <alignment horizontal="center"/>
    </xf>
    <xf numFmtId="165" fontId="27" fillId="33" borderId="106" xfId="0" applyNumberFormat="1" applyFont="1" applyFill="1" applyBorder="1" applyAlignment="1" applyProtection="1">
      <alignment horizontal="center"/>
    </xf>
    <xf numFmtId="1" fontId="27" fillId="33" borderId="106" xfId="0" applyNumberFormat="1" applyFont="1" applyFill="1" applyBorder="1" applyAlignment="1" applyProtection="1">
      <alignment horizontal="center"/>
    </xf>
    <xf numFmtId="1" fontId="33" fillId="33" borderId="106" xfId="0" applyNumberFormat="1" applyFont="1" applyFill="1" applyBorder="1" applyAlignment="1" applyProtection="1">
      <alignment horizontal="center"/>
    </xf>
    <xf numFmtId="2" fontId="27" fillId="33" borderId="106" xfId="0" applyNumberFormat="1" applyFont="1" applyFill="1" applyBorder="1" applyAlignment="1" applyProtection="1">
      <alignment horizontal="center"/>
    </xf>
    <xf numFmtId="165" fontId="27" fillId="33" borderId="109" xfId="0" applyNumberFormat="1" applyFont="1" applyFill="1" applyBorder="1" applyAlignment="1" applyProtection="1">
      <alignment horizontal="center"/>
    </xf>
    <xf numFmtId="164" fontId="40" fillId="36" borderId="0" xfId="0" applyNumberFormat="1" applyFont="1" applyFill="1" applyBorder="1" applyAlignment="1" applyProtection="1">
      <alignment horizontal="center" vertical="center"/>
    </xf>
    <xf numFmtId="1" fontId="66" fillId="36" borderId="50" xfId="0" applyNumberFormat="1" applyFont="1" applyFill="1" applyBorder="1" applyAlignment="1" applyProtection="1">
      <alignment horizontal="center" vertical="center" wrapText="1"/>
    </xf>
    <xf numFmtId="0" fontId="26" fillId="1" borderId="0" xfId="0" applyFont="1" applyFill="1" applyBorder="1" applyProtection="1"/>
    <xf numFmtId="0" fontId="69" fillId="34" borderId="36" xfId="0" applyFont="1" applyFill="1" applyBorder="1" applyProtection="1"/>
    <xf numFmtId="0" fontId="69" fillId="34" borderId="36" xfId="0" applyFont="1" applyFill="1" applyBorder="1" applyAlignment="1" applyProtection="1">
      <alignment horizontal="right"/>
    </xf>
    <xf numFmtId="164" fontId="69" fillId="35" borderId="36" xfId="0" applyNumberFormat="1" applyFont="1" applyFill="1" applyBorder="1" applyAlignment="1" applyProtection="1">
      <alignment horizontal="center"/>
    </xf>
    <xf numFmtId="164" fontId="28" fillId="0" borderId="59" xfId="0" applyNumberFormat="1" applyFont="1" applyBorder="1" applyAlignment="1" applyProtection="1">
      <alignment horizontal="center"/>
    </xf>
    <xf numFmtId="1" fontId="33" fillId="0" borderId="21" xfId="0" applyNumberFormat="1" applyFont="1" applyBorder="1" applyAlignment="1" applyProtection="1">
      <alignment horizontal="center"/>
    </xf>
    <xf numFmtId="165" fontId="27" fillId="0" borderId="110" xfId="0" applyNumberFormat="1" applyFont="1" applyFill="1" applyBorder="1" applyAlignment="1" applyProtection="1">
      <alignment horizontal="center"/>
    </xf>
    <xf numFmtId="164" fontId="28" fillId="36" borderId="65" xfId="0" applyNumberFormat="1" applyFont="1" applyFill="1" applyBorder="1" applyAlignment="1" applyProtection="1">
      <alignment horizontal="center"/>
    </xf>
    <xf numFmtId="1" fontId="2" fillId="33" borderId="50" xfId="0" applyNumberFormat="1" applyFont="1" applyFill="1" applyBorder="1" applyAlignment="1" applyProtection="1">
      <alignment horizontal="center"/>
    </xf>
    <xf numFmtId="1" fontId="2" fillId="33" borderId="50" xfId="0" applyNumberFormat="1" applyFont="1" applyFill="1" applyBorder="1" applyAlignment="1" applyProtection="1">
      <alignment horizontal="center"/>
      <protection locked="0"/>
    </xf>
    <xf numFmtId="2" fontId="27" fillId="33" borderId="41" xfId="0" applyNumberFormat="1" applyFont="1" applyFill="1" applyBorder="1" applyAlignment="1" applyProtection="1">
      <alignment horizontal="center"/>
    </xf>
    <xf numFmtId="2" fontId="27" fillId="33" borderId="42" xfId="0" applyNumberFormat="1" applyFont="1" applyFill="1" applyBorder="1" applyAlignment="1" applyProtection="1">
      <alignment horizontal="center"/>
    </xf>
    <xf numFmtId="1" fontId="28" fillId="33" borderId="42" xfId="0" applyNumberFormat="1" applyFont="1" applyFill="1" applyBorder="1" applyAlignment="1" applyProtection="1">
      <alignment horizontal="center"/>
    </xf>
    <xf numFmtId="165" fontId="27" fillId="33" borderId="111" xfId="0" applyNumberFormat="1" applyFont="1" applyFill="1" applyBorder="1" applyAlignment="1" applyProtection="1">
      <alignment horizontal="center"/>
    </xf>
    <xf numFmtId="1" fontId="27" fillId="33" borderId="42" xfId="0" applyNumberFormat="1" applyFont="1" applyFill="1" applyBorder="1" applyAlignment="1" applyProtection="1">
      <alignment horizontal="center"/>
    </xf>
    <xf numFmtId="1" fontId="2" fillId="33" borderId="42" xfId="0" applyNumberFormat="1" applyFont="1" applyFill="1" applyBorder="1" applyAlignment="1" applyProtection="1">
      <alignment horizontal="center"/>
      <protection locked="0"/>
    </xf>
    <xf numFmtId="1" fontId="33" fillId="33" borderId="42" xfId="0" applyNumberFormat="1" applyFont="1" applyFill="1" applyBorder="1" applyAlignment="1" applyProtection="1">
      <alignment horizontal="center"/>
    </xf>
    <xf numFmtId="165" fontId="27" fillId="33" borderId="112" xfId="0" applyNumberFormat="1" applyFont="1" applyFill="1" applyBorder="1" applyAlignment="1" applyProtection="1">
      <alignment horizontal="center"/>
    </xf>
    <xf numFmtId="2" fontId="27" fillId="0" borderId="55" xfId="0" applyNumberFormat="1" applyFont="1" applyBorder="1" applyAlignment="1" applyProtection="1">
      <alignment horizontal="center"/>
    </xf>
    <xf numFmtId="165" fontId="27" fillId="0" borderId="52" xfId="0" applyNumberFormat="1" applyFont="1" applyFill="1" applyBorder="1" applyAlignment="1" applyProtection="1">
      <alignment horizontal="center"/>
    </xf>
    <xf numFmtId="165" fontId="27" fillId="0" borderId="39" xfId="0" applyNumberFormat="1" applyFont="1" applyBorder="1" applyAlignment="1" applyProtection="1">
      <alignment horizontal="center"/>
    </xf>
    <xf numFmtId="2" fontId="27" fillId="0" borderId="39" xfId="0" applyNumberFormat="1" applyFont="1" applyBorder="1" applyAlignment="1" applyProtection="1">
      <alignment horizontal="center"/>
    </xf>
    <xf numFmtId="0" fontId="26" fillId="1" borderId="60" xfId="0" applyFont="1" applyFill="1" applyBorder="1" applyAlignment="1" applyProtection="1">
      <alignment vertical="center"/>
    </xf>
    <xf numFmtId="0" fontId="27" fillId="1" borderId="16" xfId="0" applyFont="1" applyFill="1" applyBorder="1" applyAlignment="1" applyProtection="1">
      <alignment vertical="center"/>
    </xf>
    <xf numFmtId="0" fontId="0" fillId="1" borderId="35" xfId="0" applyFill="1" applyBorder="1" applyAlignment="1">
      <alignment vertical="center"/>
    </xf>
    <xf numFmtId="0" fontId="0" fillId="1" borderId="16" xfId="0" applyFill="1" applyBorder="1" applyAlignment="1">
      <alignment vertical="center"/>
    </xf>
    <xf numFmtId="0" fontId="28" fillId="1" borderId="16" xfId="0" applyFont="1" applyFill="1" applyBorder="1" applyAlignment="1" applyProtection="1">
      <alignment vertical="center"/>
    </xf>
    <xf numFmtId="0" fontId="29" fillId="28" borderId="17" xfId="0" applyFont="1" applyFill="1" applyBorder="1" applyAlignment="1" applyProtection="1">
      <alignment horizontal="center" vertical="center"/>
    </xf>
    <xf numFmtId="0" fontId="29" fillId="1" borderId="18" xfId="0" applyFont="1" applyFill="1" applyBorder="1" applyAlignment="1" applyProtection="1">
      <alignment vertical="center"/>
    </xf>
    <xf numFmtId="0" fontId="27" fillId="1" borderId="61" xfId="0" applyFont="1" applyFill="1" applyBorder="1" applyAlignment="1" applyProtection="1">
      <alignment vertical="center"/>
    </xf>
    <xf numFmtId="0" fontId="27" fillId="0" borderId="49" xfId="0" applyFont="1" applyBorder="1" applyAlignment="1" applyProtection="1">
      <alignment vertical="center"/>
    </xf>
    <xf numFmtId="0" fontId="27" fillId="0" borderId="20" xfId="0" applyFont="1" applyBorder="1" applyAlignment="1" applyProtection="1">
      <alignment horizontal="center" vertical="center"/>
    </xf>
    <xf numFmtId="165" fontId="27" fillId="0" borderId="21" xfId="0" applyNumberFormat="1" applyFont="1" applyBorder="1" applyAlignment="1" applyProtection="1">
      <alignment horizontal="center" vertical="center"/>
    </xf>
    <xf numFmtId="0" fontId="0" fillId="1" borderId="45" xfId="0" applyFill="1" applyBorder="1" applyAlignment="1">
      <alignment vertical="center"/>
    </xf>
    <xf numFmtId="0" fontId="0" fillId="1" borderId="0" xfId="0" applyFill="1" applyBorder="1" applyAlignment="1">
      <alignment vertical="center"/>
    </xf>
    <xf numFmtId="0" fontId="0" fillId="1" borderId="19" xfId="0" applyFill="1" applyBorder="1" applyAlignment="1">
      <alignment vertical="center"/>
    </xf>
    <xf numFmtId="0" fontId="27" fillId="0" borderId="0" xfId="0" applyFont="1" applyBorder="1" applyAlignment="1" applyProtection="1">
      <alignment vertical="center"/>
    </xf>
    <xf numFmtId="165" fontId="27" fillId="30" borderId="14" xfId="0" applyNumberFormat="1" applyFont="1" applyFill="1" applyBorder="1" applyAlignment="1" applyProtection="1">
      <alignment horizontal="center" vertical="center"/>
    </xf>
    <xf numFmtId="165" fontId="27" fillId="0" borderId="24" xfId="0" applyNumberFormat="1" applyFont="1" applyBorder="1" applyAlignment="1" applyProtection="1">
      <alignment horizontal="center" vertical="center"/>
    </xf>
    <xf numFmtId="0" fontId="33" fillId="1" borderId="0" xfId="0" applyFont="1" applyFill="1" applyBorder="1" applyAlignment="1" applyProtection="1">
      <alignment horizontal="left" vertical="center"/>
    </xf>
    <xf numFmtId="0" fontId="27" fillId="1" borderId="0" xfId="0" applyFont="1" applyFill="1" applyBorder="1" applyAlignment="1" applyProtection="1">
      <alignment vertical="center"/>
    </xf>
    <xf numFmtId="0" fontId="27" fillId="1" borderId="21" xfId="0" applyFont="1" applyFill="1" applyBorder="1" applyAlignment="1" applyProtection="1">
      <alignment vertical="center"/>
    </xf>
    <xf numFmtId="2" fontId="27" fillId="0" borderId="21" xfId="0" applyNumberFormat="1" applyFont="1" applyBorder="1" applyAlignment="1" applyProtection="1">
      <alignment horizontal="center" vertical="center"/>
    </xf>
    <xf numFmtId="0" fontId="0" fillId="1" borderId="15" xfId="0" applyFill="1" applyBorder="1" applyAlignment="1">
      <alignment vertical="center"/>
    </xf>
    <xf numFmtId="165" fontId="27" fillId="30" borderId="23" xfId="0" applyNumberFormat="1" applyFont="1" applyFill="1" applyBorder="1" applyAlignment="1" applyProtection="1">
      <alignment horizontal="center" vertical="center"/>
    </xf>
    <xf numFmtId="165" fontId="27" fillId="0" borderId="22" xfId="0" applyNumberFormat="1" applyFont="1" applyBorder="1" applyAlignment="1" applyProtection="1">
      <alignment horizontal="center" vertical="center"/>
    </xf>
    <xf numFmtId="0" fontId="0" fillId="0" borderId="0" xfId="0" applyBorder="1" applyAlignment="1" applyProtection="1">
      <alignment vertical="center"/>
    </xf>
    <xf numFmtId="0" fontId="33" fillId="1" borderId="15" xfId="0" applyFont="1" applyFill="1" applyBorder="1" applyAlignment="1">
      <alignment horizontal="center" vertical="center"/>
    </xf>
    <xf numFmtId="2" fontId="33" fillId="1" borderId="0" xfId="0" applyNumberFormat="1" applyFont="1" applyFill="1" applyBorder="1" applyAlignment="1">
      <alignment horizontal="center" vertical="center"/>
    </xf>
    <xf numFmtId="1" fontId="27" fillId="0" borderId="21" xfId="0" applyNumberFormat="1" applyFont="1" applyBorder="1" applyAlignment="1" applyProtection="1">
      <alignment horizontal="center" vertical="center"/>
    </xf>
    <xf numFmtId="165" fontId="27" fillId="0" borderId="25" xfId="0" applyNumberFormat="1" applyFont="1" applyBorder="1" applyAlignment="1" applyProtection="1">
      <alignment horizontal="center" vertical="center"/>
    </xf>
    <xf numFmtId="0" fontId="26" fillId="29" borderId="26" xfId="0" applyFont="1" applyFill="1" applyBorder="1" applyAlignment="1" applyProtection="1">
      <alignment vertical="center"/>
    </xf>
    <xf numFmtId="0" fontId="27" fillId="29" borderId="26" xfId="0" applyFont="1" applyFill="1" applyBorder="1" applyAlignment="1" applyProtection="1">
      <alignment vertical="center"/>
    </xf>
    <xf numFmtId="0" fontId="28" fillId="34" borderId="36" xfId="0" applyFont="1" applyFill="1" applyBorder="1" applyAlignment="1" applyProtection="1">
      <alignment vertical="center"/>
    </xf>
    <xf numFmtId="0" fontId="27" fillId="0" borderId="26" xfId="0" applyFont="1" applyBorder="1" applyAlignment="1" applyProtection="1">
      <alignment vertical="center"/>
    </xf>
    <xf numFmtId="165" fontId="27" fillId="0" borderId="28" xfId="0" applyNumberFormat="1" applyFont="1" applyBorder="1" applyAlignment="1" applyProtection="1">
      <alignment horizontal="center" vertical="center"/>
    </xf>
    <xf numFmtId="0" fontId="27" fillId="0" borderId="24" xfId="0" applyFont="1" applyBorder="1" applyAlignment="1" applyProtection="1">
      <alignment horizontal="center" vertical="center"/>
    </xf>
    <xf numFmtId="0" fontId="27" fillId="0" borderId="29" xfId="0" applyFont="1" applyBorder="1" applyAlignment="1" applyProtection="1">
      <alignment vertical="center"/>
    </xf>
    <xf numFmtId="165" fontId="27" fillId="0" borderId="23" xfId="0" applyNumberFormat="1" applyFont="1" applyBorder="1" applyAlignment="1" applyProtection="1">
      <alignment horizontal="center" vertical="center"/>
    </xf>
    <xf numFmtId="0" fontId="27" fillId="0" borderId="25" xfId="0" applyFont="1" applyBorder="1" applyAlignment="1" applyProtection="1">
      <alignment horizontal="center" vertical="center"/>
    </xf>
    <xf numFmtId="0" fontId="27" fillId="27" borderId="26" xfId="0" applyFont="1" applyFill="1" applyBorder="1" applyAlignment="1" applyProtection="1">
      <alignment vertical="center"/>
      <protection hidden="1"/>
    </xf>
    <xf numFmtId="0" fontId="27" fillId="27" borderId="26" xfId="0" applyFont="1" applyFill="1" applyBorder="1" applyAlignment="1" applyProtection="1">
      <alignment vertical="center"/>
    </xf>
    <xf numFmtId="0" fontId="27" fillId="27" borderId="27" xfId="0" applyFont="1" applyFill="1" applyBorder="1" applyAlignment="1" applyProtection="1">
      <alignment vertical="center"/>
    </xf>
    <xf numFmtId="1" fontId="27" fillId="30" borderId="36" xfId="0" applyNumberFormat="1" applyFont="1" applyFill="1" applyBorder="1" applyAlignment="1" applyProtection="1">
      <alignment horizontal="center" vertical="center"/>
    </xf>
    <xf numFmtId="0" fontId="1" fillId="0" borderId="0" xfId="0" applyFont="1" applyAlignment="1">
      <alignment vertical="center"/>
    </xf>
    <xf numFmtId="0" fontId="28" fillId="1" borderId="15" xfId="0" applyFont="1" applyFill="1" applyBorder="1" applyAlignment="1" applyProtection="1">
      <alignment vertical="center"/>
    </xf>
    <xf numFmtId="0" fontId="27" fillId="0" borderId="38" xfId="0" applyFont="1" applyBorder="1" applyAlignment="1" applyProtection="1">
      <alignment vertical="center"/>
      <protection hidden="1"/>
    </xf>
    <xf numFmtId="0" fontId="28" fillId="0" borderId="38" xfId="0" applyFont="1" applyBorder="1" applyAlignment="1" applyProtection="1">
      <alignment vertical="center"/>
      <protection hidden="1"/>
    </xf>
    <xf numFmtId="0" fontId="27" fillId="0" borderId="38" xfId="0" applyFont="1" applyBorder="1" applyAlignment="1" applyProtection="1">
      <alignment vertical="center"/>
    </xf>
    <xf numFmtId="0" fontId="27" fillId="0" borderId="37" xfId="0" applyFont="1" applyBorder="1" applyAlignment="1" applyProtection="1">
      <alignment vertical="center"/>
    </xf>
    <xf numFmtId="0" fontId="27" fillId="30" borderId="36" xfId="0" applyFont="1" applyFill="1" applyBorder="1" applyAlignment="1" applyProtection="1">
      <alignment horizontal="center" vertical="center"/>
    </xf>
    <xf numFmtId="164" fontId="27" fillId="0" borderId="21" xfId="0" applyNumberFormat="1" applyFont="1" applyBorder="1" applyAlignment="1" applyProtection="1">
      <alignment horizontal="center" vertical="center"/>
    </xf>
    <xf numFmtId="0" fontId="2" fillId="1" borderId="0" xfId="0" applyFont="1" applyFill="1" applyBorder="1" applyAlignment="1" applyProtection="1">
      <alignment vertical="center"/>
    </xf>
    <xf numFmtId="0" fontId="2" fillId="0" borderId="90" xfId="0" applyFont="1" applyFill="1" applyBorder="1" applyAlignment="1" applyProtection="1">
      <alignment horizontal="center" vertical="center"/>
    </xf>
    <xf numFmtId="0" fontId="28" fillId="1" borderId="0" xfId="0" applyFont="1" applyFill="1" applyBorder="1" applyAlignment="1" applyProtection="1">
      <alignment vertical="center"/>
    </xf>
    <xf numFmtId="0" fontId="0" fillId="1" borderId="0" xfId="0" applyFill="1" applyBorder="1" applyAlignment="1" applyProtection="1">
      <alignment vertical="center"/>
    </xf>
    <xf numFmtId="0" fontId="2" fillId="0" borderId="90" xfId="0" applyFont="1" applyBorder="1" applyAlignment="1" applyProtection="1">
      <alignment vertical="center"/>
    </xf>
    <xf numFmtId="0" fontId="2" fillId="0" borderId="38" xfId="0" applyFont="1" applyBorder="1" applyAlignment="1" applyProtection="1">
      <alignment vertical="center"/>
    </xf>
    <xf numFmtId="0" fontId="2" fillId="0" borderId="90" xfId="0" applyFont="1" applyFill="1" applyBorder="1" applyAlignment="1">
      <alignment horizontal="center" vertical="center"/>
    </xf>
    <xf numFmtId="1" fontId="2" fillId="0" borderId="43" xfId="0" applyNumberFormat="1" applyFont="1" applyFill="1" applyBorder="1" applyAlignment="1" applyProtection="1">
      <alignment horizontal="center" vertical="center"/>
    </xf>
    <xf numFmtId="0" fontId="27" fillId="0" borderId="21" xfId="0" applyFont="1" applyBorder="1" applyAlignment="1" applyProtection="1">
      <alignment horizontal="center" vertical="center"/>
    </xf>
    <xf numFmtId="0" fontId="30" fillId="1" borderId="0" xfId="0" applyFont="1" applyFill="1" applyBorder="1" applyAlignment="1" applyProtection="1">
      <alignment vertical="center"/>
    </xf>
    <xf numFmtId="9" fontId="68" fillId="27" borderId="44" xfId="0" applyNumberFormat="1" applyFont="1" applyFill="1" applyBorder="1" applyAlignment="1" applyProtection="1">
      <alignment horizontal="right" vertical="center"/>
    </xf>
    <xf numFmtId="0" fontId="68" fillId="27" borderId="37" xfId="0" applyFont="1" applyFill="1" applyBorder="1" applyAlignment="1" applyProtection="1">
      <alignment vertical="center"/>
    </xf>
    <xf numFmtId="0" fontId="27" fillId="34" borderId="36" xfId="0" applyFont="1" applyFill="1" applyBorder="1" applyAlignment="1" applyProtection="1">
      <alignment vertical="center"/>
    </xf>
    <xf numFmtId="0" fontId="2" fillId="34" borderId="36" xfId="0" applyFont="1" applyFill="1" applyBorder="1" applyAlignment="1" applyProtection="1">
      <alignment horizontal="right" vertical="center"/>
    </xf>
    <xf numFmtId="164" fontId="28" fillId="34" borderId="36" xfId="0" applyNumberFormat="1" applyFont="1" applyFill="1" applyBorder="1" applyAlignment="1" applyProtection="1">
      <alignment horizontal="center" vertical="center"/>
    </xf>
    <xf numFmtId="0" fontId="27" fillId="0" borderId="15" xfId="0" applyFont="1" applyBorder="1" applyAlignment="1" applyProtection="1">
      <alignment vertical="center"/>
    </xf>
    <xf numFmtId="0" fontId="27" fillId="0" borderId="30" xfId="0" applyFont="1" applyBorder="1" applyAlignment="1" applyProtection="1">
      <alignment horizontal="center" vertical="center"/>
    </xf>
    <xf numFmtId="0" fontId="26" fillId="1" borderId="113" xfId="0" applyFont="1" applyFill="1" applyBorder="1" applyAlignment="1" applyProtection="1">
      <alignment vertical="center"/>
    </xf>
    <xf numFmtId="0" fontId="27" fillId="1" borderId="114" xfId="0" applyFont="1" applyFill="1" applyBorder="1" applyAlignment="1" applyProtection="1">
      <alignment horizontal="center" vertical="center"/>
    </xf>
    <xf numFmtId="0" fontId="27" fillId="1" borderId="114" xfId="0" applyFont="1" applyFill="1" applyBorder="1" applyAlignment="1" applyProtection="1">
      <alignment vertical="center"/>
    </xf>
    <xf numFmtId="0" fontId="27" fillId="1" borderId="63" xfId="0" applyFont="1" applyFill="1" applyBorder="1" applyAlignment="1" applyProtection="1">
      <alignment vertical="center"/>
    </xf>
    <xf numFmtId="0" fontId="27" fillId="0" borderId="54" xfId="0" applyFont="1" applyBorder="1" applyAlignment="1" applyProtection="1">
      <alignment vertical="center"/>
    </xf>
    <xf numFmtId="0" fontId="27" fillId="0" borderId="55" xfId="0" applyFont="1" applyBorder="1" applyAlignment="1" applyProtection="1">
      <alignment horizontal="center" vertical="center"/>
    </xf>
    <xf numFmtId="164" fontId="28" fillId="33" borderId="107" xfId="0" applyNumberFormat="1" applyFont="1" applyFill="1" applyBorder="1" applyAlignment="1" applyProtection="1">
      <alignment horizontal="center" vertical="center"/>
    </xf>
    <xf numFmtId="164" fontId="28" fillId="36" borderId="55" xfId="0" applyNumberFormat="1" applyFont="1" applyFill="1" applyBorder="1" applyAlignment="1" applyProtection="1">
      <alignment horizontal="center" vertical="center"/>
    </xf>
    <xf numFmtId="164" fontId="28" fillId="33" borderId="55" xfId="0" applyNumberFormat="1" applyFont="1" applyFill="1" applyBorder="1" applyAlignment="1" applyProtection="1">
      <alignment horizontal="center" vertical="center"/>
    </xf>
    <xf numFmtId="164" fontId="28" fillId="36" borderId="107" xfId="0" applyNumberFormat="1" applyFont="1" applyFill="1" applyBorder="1" applyAlignment="1" applyProtection="1">
      <alignment horizontal="center" vertical="center"/>
    </xf>
    <xf numFmtId="164" fontId="28" fillId="0" borderId="40" xfId="0" applyNumberFormat="1" applyFont="1" applyBorder="1" applyAlignment="1" applyProtection="1">
      <alignment horizontal="center" vertical="center"/>
    </xf>
    <xf numFmtId="0" fontId="27" fillId="0" borderId="22" xfId="0" applyFont="1" applyBorder="1" applyAlignment="1" applyProtection="1">
      <alignment horizontal="center" vertical="center"/>
    </xf>
    <xf numFmtId="165" fontId="27" fillId="33" borderId="14" xfId="0" applyNumberFormat="1" applyFont="1" applyFill="1" applyBorder="1" applyAlignment="1" applyProtection="1">
      <alignment horizontal="center" vertical="center"/>
    </xf>
    <xf numFmtId="165" fontId="27" fillId="33" borderId="22" xfId="0" applyNumberFormat="1" applyFont="1" applyFill="1" applyBorder="1" applyAlignment="1" applyProtection="1">
      <alignment horizontal="center" vertical="center"/>
    </xf>
    <xf numFmtId="165" fontId="27" fillId="0" borderId="14" xfId="0" applyNumberFormat="1" applyFont="1" applyBorder="1" applyAlignment="1" applyProtection="1">
      <alignment horizontal="center" vertical="center"/>
    </xf>
    <xf numFmtId="165" fontId="28" fillId="0" borderId="39" xfId="0" applyNumberFormat="1" applyFont="1" applyBorder="1" applyAlignment="1" applyProtection="1">
      <alignment horizontal="center" vertical="center"/>
    </xf>
    <xf numFmtId="165" fontId="27" fillId="0" borderId="39" xfId="0" applyNumberFormat="1" applyFont="1" applyBorder="1" applyAlignment="1" applyProtection="1">
      <alignment horizontal="center" vertical="center"/>
    </xf>
    <xf numFmtId="165" fontId="27" fillId="0" borderId="22" xfId="0" applyNumberFormat="1" applyFont="1" applyFill="1" applyBorder="1" applyAlignment="1" applyProtection="1">
      <alignment horizontal="center" vertical="center"/>
    </xf>
    <xf numFmtId="165" fontId="27" fillId="0" borderId="14" xfId="0" applyNumberFormat="1" applyFont="1" applyFill="1" applyBorder="1" applyAlignment="1" applyProtection="1">
      <alignment horizontal="center" vertical="center"/>
    </xf>
    <xf numFmtId="165" fontId="27" fillId="0" borderId="39" xfId="0" applyNumberFormat="1" applyFont="1" applyFill="1" applyBorder="1" applyAlignment="1" applyProtection="1">
      <alignment horizontal="center" vertical="center"/>
    </xf>
    <xf numFmtId="1" fontId="27" fillId="33" borderId="14" xfId="0" applyNumberFormat="1" applyFont="1" applyFill="1" applyBorder="1" applyAlignment="1" applyProtection="1">
      <alignment horizontal="center" vertical="center"/>
    </xf>
    <xf numFmtId="1" fontId="27" fillId="0" borderId="22" xfId="0" applyNumberFormat="1" applyFont="1" applyBorder="1" applyAlignment="1" applyProtection="1">
      <alignment horizontal="center" vertical="center"/>
    </xf>
    <xf numFmtId="1" fontId="27" fillId="33" borderId="22" xfId="0" applyNumberFormat="1" applyFont="1" applyFill="1" applyBorder="1" applyAlignment="1" applyProtection="1">
      <alignment horizontal="center" vertical="center"/>
    </xf>
    <xf numFmtId="1" fontId="27" fillId="0" borderId="14" xfId="0" applyNumberFormat="1" applyFont="1" applyBorder="1" applyAlignment="1" applyProtection="1">
      <alignment horizontal="center" vertical="center"/>
    </xf>
    <xf numFmtId="1" fontId="27" fillId="0" borderId="39" xfId="0" applyNumberFormat="1" applyFont="1" applyBorder="1" applyAlignment="1" applyProtection="1">
      <alignment horizontal="center" vertical="center"/>
    </xf>
    <xf numFmtId="0" fontId="2" fillId="33" borderId="49" xfId="0" applyFont="1" applyFill="1" applyBorder="1" applyAlignment="1" applyProtection="1">
      <alignment vertical="center"/>
    </xf>
    <xf numFmtId="0" fontId="2" fillId="33" borderId="14" xfId="0" applyFont="1" applyFill="1" applyBorder="1" applyAlignment="1" applyProtection="1">
      <alignment horizontal="center" vertical="center"/>
    </xf>
    <xf numFmtId="1" fontId="2" fillId="33" borderId="42" xfId="0" applyNumberFormat="1" applyFont="1" applyFill="1" applyBorder="1" applyAlignment="1" applyProtection="1">
      <alignment horizontal="center" vertical="center"/>
    </xf>
    <xf numFmtId="1" fontId="2" fillId="33" borderId="22" xfId="0" applyNumberFormat="1" applyFont="1" applyFill="1" applyBorder="1" applyAlignment="1" applyProtection="1">
      <alignment horizontal="center" vertical="center"/>
    </xf>
    <xf numFmtId="1" fontId="2" fillId="33" borderId="14" xfId="0" applyNumberFormat="1" applyFont="1" applyFill="1" applyBorder="1" applyAlignment="1" applyProtection="1">
      <alignment horizontal="center" vertical="center"/>
    </xf>
    <xf numFmtId="1" fontId="2" fillId="0" borderId="39" xfId="0" applyNumberFormat="1" applyFont="1" applyFill="1" applyBorder="1" applyAlignment="1" applyProtection="1">
      <alignment horizontal="center" vertical="center"/>
    </xf>
    <xf numFmtId="1" fontId="2" fillId="0" borderId="39" xfId="0" applyNumberFormat="1" applyFont="1" applyBorder="1" applyAlignment="1" applyProtection="1">
      <alignment horizontal="center" vertical="center"/>
    </xf>
    <xf numFmtId="1" fontId="2" fillId="33" borderId="42" xfId="0" applyNumberFormat="1" applyFont="1" applyFill="1" applyBorder="1" applyAlignment="1" applyProtection="1">
      <alignment horizontal="center" vertical="center"/>
      <protection locked="0"/>
    </xf>
    <xf numFmtId="1" fontId="2" fillId="33" borderId="22" xfId="0" applyNumberFormat="1" applyFont="1" applyFill="1" applyBorder="1" applyAlignment="1" applyProtection="1">
      <alignment horizontal="center" vertical="center"/>
      <protection locked="0"/>
    </xf>
    <xf numFmtId="1" fontId="2" fillId="33" borderId="14" xfId="0" applyNumberFormat="1" applyFont="1" applyFill="1" applyBorder="1" applyAlignment="1" applyProtection="1">
      <alignment horizontal="center" vertical="center"/>
      <protection locked="0"/>
    </xf>
    <xf numFmtId="1" fontId="28" fillId="0" borderId="39" xfId="0" applyNumberFormat="1" applyFont="1" applyBorder="1" applyAlignment="1" applyProtection="1">
      <alignment horizontal="center" vertical="center"/>
    </xf>
    <xf numFmtId="0" fontId="28" fillId="33" borderId="49" xfId="0" applyFont="1" applyFill="1" applyBorder="1" applyAlignment="1" applyProtection="1">
      <alignment vertical="center"/>
    </xf>
    <xf numFmtId="0" fontId="22" fillId="33" borderId="22" xfId="0" applyFont="1" applyFill="1" applyBorder="1" applyAlignment="1" applyProtection="1">
      <alignment horizontal="center" vertical="center"/>
    </xf>
    <xf numFmtId="1" fontId="28" fillId="33" borderId="14" xfId="0" applyNumberFormat="1" applyFont="1" applyFill="1" applyBorder="1" applyAlignment="1" applyProtection="1">
      <alignment horizontal="center" vertical="center"/>
    </xf>
    <xf numFmtId="1" fontId="28" fillId="33" borderId="22" xfId="0" applyNumberFormat="1" applyFont="1" applyFill="1" applyBorder="1" applyAlignment="1" applyProtection="1">
      <alignment horizontal="center" vertical="center"/>
    </xf>
    <xf numFmtId="1" fontId="28" fillId="0" borderId="39" xfId="0" applyNumberFormat="1" applyFont="1" applyFill="1" applyBorder="1" applyAlignment="1" applyProtection="1">
      <alignment horizontal="center" vertical="center"/>
    </xf>
    <xf numFmtId="1" fontId="28" fillId="0" borderId="22" xfId="0" applyNumberFormat="1" applyFont="1" applyBorder="1" applyAlignment="1" applyProtection="1">
      <alignment horizontal="center" vertical="center"/>
    </xf>
    <xf numFmtId="1" fontId="28" fillId="0" borderId="14" xfId="0" applyNumberFormat="1" applyFont="1" applyBorder="1" applyAlignment="1" applyProtection="1">
      <alignment horizontal="center" vertical="center"/>
    </xf>
    <xf numFmtId="2" fontId="27" fillId="33" borderId="14" xfId="0" applyNumberFormat="1" applyFont="1" applyFill="1" applyBorder="1" applyAlignment="1" applyProtection="1">
      <alignment horizontal="center" vertical="center"/>
    </xf>
    <xf numFmtId="2" fontId="27" fillId="0" borderId="22" xfId="0" applyNumberFormat="1" applyFont="1" applyBorder="1" applyAlignment="1" applyProtection="1">
      <alignment horizontal="center" vertical="center"/>
    </xf>
    <xf numFmtId="2" fontId="27" fillId="33" borderId="22" xfId="0" applyNumberFormat="1" applyFont="1" applyFill="1" applyBorder="1" applyAlignment="1" applyProtection="1">
      <alignment horizontal="center" vertical="center"/>
    </xf>
    <xf numFmtId="2" fontId="27" fillId="0" borderId="14" xfId="0" applyNumberFormat="1" applyFont="1" applyBorder="1" applyAlignment="1" applyProtection="1">
      <alignment horizontal="center" vertical="center"/>
    </xf>
    <xf numFmtId="2" fontId="27" fillId="0" borderId="39" xfId="0" applyNumberFormat="1" applyFont="1" applyBorder="1" applyAlignment="1" applyProtection="1">
      <alignment horizontal="center" vertical="center"/>
    </xf>
    <xf numFmtId="0" fontId="19" fillId="0" borderId="22" xfId="0" applyFont="1" applyBorder="1" applyAlignment="1" applyProtection="1">
      <alignment horizontal="center" vertical="center"/>
    </xf>
    <xf numFmtId="0" fontId="27" fillId="0" borderId="64" xfId="0" applyFont="1" applyBorder="1" applyAlignment="1" applyProtection="1">
      <alignment vertical="center"/>
    </xf>
    <xf numFmtId="0" fontId="27" fillId="0" borderId="66" xfId="0" applyFont="1" applyBorder="1" applyAlignment="1" applyProtection="1">
      <alignment horizontal="center" vertical="center"/>
    </xf>
    <xf numFmtId="165" fontId="27" fillId="33" borderId="69" xfId="0" applyNumberFormat="1" applyFont="1" applyFill="1" applyBorder="1" applyAlignment="1" applyProtection="1">
      <alignment horizontal="center" vertical="center"/>
    </xf>
    <xf numFmtId="165" fontId="27" fillId="0" borderId="66" xfId="0" applyNumberFormat="1" applyFont="1" applyFill="1" applyBorder="1" applyAlignment="1" applyProtection="1">
      <alignment horizontal="center" vertical="center"/>
    </xf>
    <xf numFmtId="165" fontId="27" fillId="33" borderId="66" xfId="0" applyNumberFormat="1" applyFont="1" applyFill="1" applyBorder="1" applyAlignment="1" applyProtection="1">
      <alignment horizontal="center" vertical="center"/>
    </xf>
    <xf numFmtId="165" fontId="27" fillId="0" borderId="69" xfId="0" applyNumberFormat="1" applyFont="1" applyFill="1" applyBorder="1" applyAlignment="1" applyProtection="1">
      <alignment horizontal="center" vertical="center"/>
    </xf>
    <xf numFmtId="165" fontId="27" fillId="0" borderId="115" xfId="0" applyNumberFormat="1" applyFont="1" applyFill="1" applyBorder="1" applyAlignment="1" applyProtection="1">
      <alignment horizontal="center" vertical="center"/>
    </xf>
    <xf numFmtId="0" fontId="40" fillId="0" borderId="116" xfId="0" applyFont="1" applyBorder="1" applyAlignment="1" applyProtection="1">
      <alignment horizontal="center" vertical="center" wrapText="1"/>
    </xf>
    <xf numFmtId="0" fontId="40" fillId="36" borderId="116" xfId="0" applyFont="1" applyFill="1" applyBorder="1" applyAlignment="1" applyProtection="1">
      <alignment horizontal="center" vertical="center" wrapText="1"/>
    </xf>
    <xf numFmtId="0" fontId="40" fillId="38" borderId="107" xfId="0" applyFont="1" applyFill="1" applyBorder="1" applyAlignment="1" applyProtection="1">
      <alignment horizontal="center" vertical="center"/>
    </xf>
    <xf numFmtId="0" fontId="40" fillId="39" borderId="90" xfId="0" applyFont="1" applyFill="1" applyBorder="1" applyAlignment="1" applyProtection="1">
      <alignment horizontal="center" vertical="center"/>
      <protection locked="0"/>
    </xf>
    <xf numFmtId="2" fontId="40" fillId="38" borderId="14" xfId="0" applyNumberFormat="1" applyFont="1" applyFill="1" applyBorder="1" applyAlignment="1" applyProtection="1">
      <alignment horizontal="center" vertical="center"/>
    </xf>
    <xf numFmtId="2" fontId="40" fillId="36" borderId="14" xfId="0" applyNumberFormat="1" applyFont="1" applyFill="1" applyBorder="1" applyAlignment="1" applyProtection="1">
      <alignment horizontal="center" vertical="center"/>
    </xf>
    <xf numFmtId="2" fontId="40" fillId="39" borderId="28" xfId="0" applyNumberFormat="1" applyFont="1" applyFill="1" applyBorder="1" applyAlignment="1" applyProtection="1">
      <alignment horizontal="center" vertical="center"/>
      <protection locked="0"/>
    </xf>
    <xf numFmtId="2" fontId="40" fillId="39" borderId="23" xfId="0" applyNumberFormat="1" applyFont="1" applyFill="1" applyBorder="1" applyAlignment="1" applyProtection="1">
      <alignment horizontal="center" vertical="center"/>
      <protection locked="0"/>
    </xf>
    <xf numFmtId="1" fontId="40" fillId="39" borderId="23" xfId="0" applyNumberFormat="1" applyFont="1" applyFill="1" applyBorder="1" applyAlignment="1" applyProtection="1">
      <alignment horizontal="center" vertical="center"/>
      <protection locked="0"/>
    </xf>
    <xf numFmtId="1" fontId="40" fillId="38" borderId="14" xfId="0" applyNumberFormat="1" applyFont="1" applyFill="1" applyBorder="1" applyAlignment="1" applyProtection="1">
      <alignment horizontal="center" vertical="center"/>
    </xf>
    <xf numFmtId="165" fontId="40" fillId="38" borderId="14" xfId="0" applyNumberFormat="1" applyFont="1" applyFill="1" applyBorder="1" applyAlignment="1" applyProtection="1">
      <alignment horizontal="center" vertical="center"/>
    </xf>
    <xf numFmtId="1" fontId="40" fillId="39" borderId="90" xfId="0" applyNumberFormat="1" applyFont="1" applyFill="1" applyBorder="1" applyAlignment="1" applyProtection="1">
      <alignment horizontal="center" vertical="center"/>
      <protection locked="0"/>
    </xf>
    <xf numFmtId="164" fontId="40" fillId="38" borderId="14" xfId="0" applyNumberFormat="1" applyFont="1" applyFill="1" applyBorder="1" applyAlignment="1" applyProtection="1">
      <alignment horizontal="center" vertical="center"/>
    </xf>
    <xf numFmtId="165" fontId="58" fillId="36" borderId="14" xfId="0" applyNumberFormat="1" applyFont="1" applyFill="1" applyBorder="1" applyAlignment="1" applyProtection="1">
      <alignment horizontal="center" vertical="center"/>
    </xf>
    <xf numFmtId="1" fontId="40" fillId="38" borderId="117" xfId="0" applyNumberFormat="1" applyFont="1" applyFill="1" applyBorder="1" applyAlignment="1" applyProtection="1">
      <alignment horizontal="center" vertical="center"/>
    </xf>
    <xf numFmtId="164" fontId="50" fillId="31" borderId="87" xfId="0" applyNumberFormat="1" applyFont="1" applyFill="1" applyBorder="1" applyAlignment="1" applyProtection="1">
      <alignment horizontal="center" vertical="center"/>
      <protection locked="0"/>
    </xf>
    <xf numFmtId="2" fontId="40" fillId="38" borderId="0" xfId="0" quotePrefix="1" applyNumberFormat="1" applyFont="1" applyFill="1" applyBorder="1" applyAlignment="1" applyProtection="1">
      <alignment horizontal="center" vertical="center"/>
    </xf>
    <xf numFmtId="165" fontId="40" fillId="38" borderId="0" xfId="0" applyNumberFormat="1" applyFont="1" applyFill="1" applyBorder="1" applyAlignment="1" applyProtection="1">
      <alignment horizontal="center" vertical="center"/>
    </xf>
    <xf numFmtId="2" fontId="66" fillId="36" borderId="26" xfId="0" applyNumberFormat="1" applyFont="1" applyFill="1" applyBorder="1" applyAlignment="1" applyProtection="1">
      <alignment horizontal="center" vertical="center" wrapText="1"/>
    </xf>
    <xf numFmtId="1" fontId="66" fillId="36" borderId="0" xfId="0" applyNumberFormat="1" applyFont="1" applyFill="1" applyBorder="1" applyAlignment="1" applyProtection="1">
      <alignment horizontal="center" vertical="center" wrapText="1"/>
    </xf>
    <xf numFmtId="1" fontId="40" fillId="38" borderId="0" xfId="0" applyNumberFormat="1" applyFont="1" applyFill="1" applyBorder="1" applyAlignment="1" applyProtection="1">
      <alignment horizontal="center" vertical="center"/>
    </xf>
    <xf numFmtId="1" fontId="40" fillId="39" borderId="29" xfId="0" applyNumberFormat="1" applyFont="1" applyFill="1" applyBorder="1" applyAlignment="1" applyProtection="1">
      <alignment horizontal="center" vertical="center"/>
      <protection locked="0"/>
    </xf>
    <xf numFmtId="1" fontId="40" fillId="38" borderId="56" xfId="0" applyNumberFormat="1" applyFont="1" applyFill="1" applyBorder="1" applyAlignment="1" applyProtection="1">
      <alignment horizontal="center" vertical="center"/>
    </xf>
    <xf numFmtId="1" fontId="58" fillId="31" borderId="29" xfId="0" applyNumberFormat="1" applyFont="1" applyFill="1" applyBorder="1" applyAlignment="1" applyProtection="1">
      <alignment horizontal="center" vertical="center"/>
      <protection locked="0"/>
    </xf>
    <xf numFmtId="1" fontId="58" fillId="36" borderId="0" xfId="0" applyNumberFormat="1" applyFont="1" applyFill="1" applyBorder="1" applyAlignment="1" applyProtection="1">
      <alignment horizontal="center" vertical="center"/>
    </xf>
    <xf numFmtId="1" fontId="58" fillId="31" borderId="28" xfId="0" applyNumberFormat="1" applyFont="1" applyFill="1" applyBorder="1" applyAlignment="1" applyProtection="1">
      <alignment horizontal="center" vertical="center"/>
      <protection locked="0"/>
    </xf>
    <xf numFmtId="1" fontId="58" fillId="31" borderId="14" xfId="0" applyNumberFormat="1" applyFont="1" applyFill="1" applyBorder="1" applyAlignment="1" applyProtection="1">
      <alignment horizontal="center" vertical="center"/>
      <protection locked="0"/>
    </xf>
    <xf numFmtId="2" fontId="58" fillId="31" borderId="14" xfId="0" applyNumberFormat="1" applyFont="1" applyFill="1" applyBorder="1" applyAlignment="1" applyProtection="1">
      <alignment horizontal="center" vertical="center"/>
      <protection locked="0"/>
    </xf>
    <xf numFmtId="2" fontId="58" fillId="31" borderId="23" xfId="0" applyNumberFormat="1" applyFont="1" applyFill="1" applyBorder="1" applyAlignment="1" applyProtection="1">
      <alignment horizontal="center" vertical="center"/>
      <protection locked="0"/>
    </xf>
    <xf numFmtId="164" fontId="36" fillId="38" borderId="14" xfId="0" applyNumberFormat="1" applyFont="1" applyFill="1" applyBorder="1" applyAlignment="1" applyProtection="1">
      <alignment horizontal="center" vertical="center"/>
    </xf>
    <xf numFmtId="2" fontId="36" fillId="38" borderId="14" xfId="0" applyNumberFormat="1" applyFont="1" applyFill="1" applyBorder="1" applyAlignment="1" applyProtection="1">
      <alignment horizontal="center" vertical="center"/>
    </xf>
    <xf numFmtId="2" fontId="36" fillId="38" borderId="117" xfId="0" applyNumberFormat="1" applyFont="1" applyFill="1" applyBorder="1" applyAlignment="1" applyProtection="1">
      <alignment horizontal="center" vertical="center"/>
    </xf>
    <xf numFmtId="1" fontId="58" fillId="36" borderId="25" xfId="0" applyNumberFormat="1" applyFont="1" applyFill="1" applyBorder="1" applyAlignment="1" applyProtection="1">
      <alignment horizontal="center" vertical="center"/>
    </xf>
    <xf numFmtId="1" fontId="58" fillId="36" borderId="104" xfId="0" applyNumberFormat="1" applyFont="1" applyFill="1" applyBorder="1" applyAlignment="1" applyProtection="1">
      <alignment horizontal="center" vertical="center"/>
    </xf>
    <xf numFmtId="164" fontId="66" fillId="31" borderId="25" xfId="0" applyNumberFormat="1" applyFont="1" applyFill="1" applyBorder="1" applyAlignment="1" applyProtection="1">
      <alignment horizontal="center" vertical="center" wrapText="1"/>
      <protection locked="0"/>
    </xf>
    <xf numFmtId="164" fontId="40" fillId="39" borderId="22" xfId="0" applyNumberFormat="1" applyFont="1" applyFill="1" applyBorder="1" applyAlignment="1" applyProtection="1">
      <alignment horizontal="center" vertical="center"/>
      <protection locked="0"/>
    </xf>
    <xf numFmtId="164" fontId="40" fillId="39" borderId="50" xfId="0" applyNumberFormat="1" applyFont="1" applyFill="1" applyBorder="1" applyAlignment="1" applyProtection="1">
      <alignment horizontal="center" vertical="center"/>
      <protection locked="0"/>
    </xf>
    <xf numFmtId="164" fontId="66" fillId="31" borderId="104" xfId="0" applyNumberFormat="1" applyFont="1" applyFill="1" applyBorder="1" applyAlignment="1" applyProtection="1">
      <alignment horizontal="center" vertical="center" wrapText="1"/>
      <protection locked="0"/>
    </xf>
    <xf numFmtId="0" fontId="27" fillId="0" borderId="0" xfId="0" applyFont="1" applyBorder="1" applyAlignment="1" applyProtection="1">
      <alignment horizontal="center"/>
    </xf>
    <xf numFmtId="0" fontId="22" fillId="33" borderId="14" xfId="0" applyFont="1" applyFill="1" applyBorder="1" applyAlignment="1" applyProtection="1">
      <alignment horizontal="center" vertical="center"/>
    </xf>
    <xf numFmtId="1" fontId="2" fillId="0" borderId="21" xfId="0" applyNumberFormat="1" applyFont="1" applyFill="1" applyBorder="1" applyAlignment="1" applyProtection="1">
      <alignment horizontal="center" vertical="center"/>
    </xf>
    <xf numFmtId="1" fontId="2" fillId="0" borderId="21" xfId="0" applyNumberFormat="1" applyFont="1" applyBorder="1" applyAlignment="1" applyProtection="1">
      <alignment horizontal="center" vertical="center"/>
    </xf>
    <xf numFmtId="1" fontId="28" fillId="0" borderId="21" xfId="0" applyNumberFormat="1" applyFont="1" applyBorder="1" applyAlignment="1" applyProtection="1">
      <alignment horizontal="center" vertical="center"/>
    </xf>
    <xf numFmtId="1" fontId="28" fillId="0" borderId="21" xfId="0" applyNumberFormat="1" applyFont="1" applyFill="1" applyBorder="1" applyAlignment="1" applyProtection="1">
      <alignment horizontal="center" vertical="center"/>
    </xf>
    <xf numFmtId="2" fontId="27" fillId="0" borderId="59" xfId="0" applyNumberFormat="1" applyFont="1" applyBorder="1" applyAlignment="1" applyProtection="1">
      <alignment horizontal="center"/>
    </xf>
    <xf numFmtId="2" fontId="28" fillId="0" borderId="21" xfId="0" applyNumberFormat="1" applyFont="1" applyBorder="1" applyAlignment="1" applyProtection="1">
      <alignment horizontal="center"/>
    </xf>
    <xf numFmtId="165" fontId="27" fillId="0" borderId="118" xfId="0" applyNumberFormat="1" applyFont="1" applyFill="1" applyBorder="1" applyAlignment="1" applyProtection="1">
      <alignment horizontal="center"/>
    </xf>
    <xf numFmtId="164" fontId="28" fillId="0" borderId="55" xfId="0" applyNumberFormat="1" applyFont="1" applyBorder="1" applyAlignment="1" applyProtection="1">
      <alignment horizontal="center"/>
    </xf>
    <xf numFmtId="2" fontId="28" fillId="36" borderId="55" xfId="0" applyNumberFormat="1" applyFont="1" applyFill="1" applyBorder="1" applyAlignment="1" applyProtection="1">
      <alignment horizontal="center"/>
    </xf>
    <xf numFmtId="165" fontId="27" fillId="36" borderId="22" xfId="0" applyNumberFormat="1" applyFont="1" applyFill="1" applyBorder="1" applyAlignment="1" applyProtection="1">
      <alignment horizontal="center"/>
    </xf>
    <xf numFmtId="1" fontId="27" fillId="36" borderId="22" xfId="0" applyNumberFormat="1" applyFont="1" applyFill="1" applyBorder="1" applyAlignment="1" applyProtection="1">
      <alignment horizontal="center"/>
    </xf>
    <xf numFmtId="1" fontId="2" fillId="33" borderId="50" xfId="0" applyNumberFormat="1" applyFont="1" applyFill="1" applyBorder="1" applyAlignment="1" applyProtection="1">
      <alignment horizontal="center" vertical="center"/>
    </xf>
    <xf numFmtId="1" fontId="2" fillId="33" borderId="50" xfId="0" applyNumberFormat="1" applyFont="1" applyFill="1" applyBorder="1" applyAlignment="1" applyProtection="1">
      <alignment horizontal="center" vertical="center"/>
      <protection locked="0"/>
    </xf>
    <xf numFmtId="1" fontId="28" fillId="33" borderId="50" xfId="0" applyNumberFormat="1" applyFont="1" applyFill="1" applyBorder="1" applyAlignment="1" applyProtection="1">
      <alignment horizontal="center" vertical="center"/>
    </xf>
    <xf numFmtId="1" fontId="33" fillId="36" borderId="22" xfId="0" applyNumberFormat="1" applyFont="1" applyFill="1" applyBorder="1" applyAlignment="1" applyProtection="1">
      <alignment horizontal="center"/>
    </xf>
    <xf numFmtId="2" fontId="27" fillId="36" borderId="22" xfId="0" applyNumberFormat="1" applyFont="1" applyFill="1" applyBorder="1" applyAlignment="1" applyProtection="1">
      <alignment horizontal="center"/>
    </xf>
    <xf numFmtId="165" fontId="27" fillId="36" borderId="66" xfId="0" applyNumberFormat="1" applyFont="1" applyFill="1" applyBorder="1" applyAlignment="1" applyProtection="1">
      <alignment horizontal="center"/>
    </xf>
    <xf numFmtId="2" fontId="27" fillId="0" borderId="0" xfId="0" applyNumberFormat="1" applyFont="1" applyBorder="1" applyAlignment="1" applyProtection="1">
      <alignment horizontal="center"/>
    </xf>
    <xf numFmtId="2" fontId="2" fillId="34" borderId="36" xfId="0" applyNumberFormat="1" applyFont="1" applyFill="1" applyBorder="1" applyAlignment="1" applyProtection="1">
      <alignment horizontal="center"/>
    </xf>
    <xf numFmtId="0" fontId="26" fillId="29" borderId="0" xfId="0" applyFont="1" applyFill="1" applyBorder="1" applyProtection="1"/>
    <xf numFmtId="1" fontId="27" fillId="0" borderId="19" xfId="0" applyNumberFormat="1" applyFont="1" applyBorder="1" applyAlignment="1" applyProtection="1">
      <alignment horizontal="center"/>
    </xf>
    <xf numFmtId="1" fontId="33" fillId="0" borderId="19" xfId="0" applyNumberFormat="1" applyFont="1" applyBorder="1" applyAlignment="1" applyProtection="1">
      <alignment horizontal="center"/>
    </xf>
    <xf numFmtId="2" fontId="27" fillId="0" borderId="19" xfId="0" applyNumberFormat="1" applyFont="1" applyBorder="1" applyAlignment="1" applyProtection="1">
      <alignment horizontal="center"/>
    </xf>
    <xf numFmtId="2" fontId="27" fillId="0" borderId="31" xfId="0" applyNumberFormat="1" applyFont="1" applyBorder="1" applyAlignment="1" applyProtection="1">
      <alignment horizontal="center"/>
    </xf>
    <xf numFmtId="1" fontId="28" fillId="0" borderId="19" xfId="0" applyNumberFormat="1" applyFont="1" applyBorder="1" applyAlignment="1" applyProtection="1">
      <alignment horizontal="center"/>
    </xf>
    <xf numFmtId="165" fontId="27" fillId="0" borderId="119" xfId="0" applyNumberFormat="1" applyFont="1" applyFill="1" applyBorder="1" applyAlignment="1" applyProtection="1">
      <alignment horizontal="center"/>
    </xf>
    <xf numFmtId="1" fontId="28" fillId="33" borderId="106" xfId="0" applyNumberFormat="1" applyFont="1" applyFill="1" applyBorder="1" applyAlignment="1" applyProtection="1">
      <alignment horizontal="center" vertical="center"/>
    </xf>
    <xf numFmtId="1" fontId="2" fillId="33" borderId="106" xfId="0" applyNumberFormat="1" applyFont="1" applyFill="1" applyBorder="1" applyAlignment="1" applyProtection="1">
      <alignment horizontal="center" vertical="center"/>
    </xf>
    <xf numFmtId="1" fontId="2" fillId="33" borderId="106" xfId="0" applyNumberFormat="1" applyFont="1" applyFill="1" applyBorder="1" applyAlignment="1" applyProtection="1">
      <alignment horizontal="center" vertical="center"/>
      <protection locked="0"/>
    </xf>
    <xf numFmtId="2" fontId="27" fillId="33" borderId="108" xfId="0" applyNumberFormat="1" applyFont="1" applyFill="1" applyBorder="1" applyAlignment="1" applyProtection="1">
      <alignment horizontal="center"/>
    </xf>
    <xf numFmtId="165" fontId="27" fillId="33" borderId="120" xfId="0" applyNumberFormat="1" applyFont="1" applyFill="1" applyBorder="1" applyAlignment="1" applyProtection="1">
      <alignment horizontal="center"/>
    </xf>
    <xf numFmtId="1" fontId="28" fillId="33" borderId="42" xfId="0" applyNumberFormat="1" applyFont="1" applyFill="1" applyBorder="1" applyAlignment="1" applyProtection="1">
      <alignment horizontal="center" vertical="center"/>
    </xf>
    <xf numFmtId="165" fontId="28" fillId="0" borderId="118" xfId="0" applyNumberFormat="1" applyFont="1" applyFill="1" applyBorder="1" applyAlignment="1" applyProtection="1">
      <alignment horizontal="center"/>
    </xf>
    <xf numFmtId="164" fontId="40" fillId="40" borderId="26" xfId="0" applyNumberFormat="1" applyFont="1" applyFill="1" applyBorder="1" applyAlignment="1" applyProtection="1">
      <alignment horizontal="center" vertical="center"/>
      <protection locked="0"/>
    </xf>
    <xf numFmtId="164" fontId="40" fillId="40" borderId="103" xfId="0" applyNumberFormat="1" applyFont="1" applyFill="1" applyBorder="1" applyAlignment="1" applyProtection="1">
      <alignment horizontal="center" vertical="center"/>
      <protection locked="0"/>
    </xf>
    <xf numFmtId="1" fontId="40" fillId="39" borderId="0" xfId="0" applyNumberFormat="1" applyFont="1" applyFill="1" applyBorder="1" applyAlignment="1" applyProtection="1">
      <alignment horizontal="center" vertical="center"/>
      <protection locked="0"/>
    </xf>
    <xf numFmtId="2" fontId="40" fillId="31" borderId="121" xfId="0" applyNumberFormat="1" applyFont="1" applyFill="1" applyBorder="1" applyAlignment="1" applyProtection="1">
      <alignment horizontal="center" vertical="center"/>
      <protection locked="0"/>
    </xf>
    <xf numFmtId="2" fontId="40" fillId="31" borderId="48" xfId="0" applyNumberFormat="1" applyFont="1" applyFill="1" applyBorder="1" applyAlignment="1" applyProtection="1">
      <alignment horizontal="center" vertical="center"/>
      <protection locked="0"/>
    </xf>
    <xf numFmtId="2" fontId="27" fillId="27" borderId="106" xfId="0" applyNumberFormat="1" applyFont="1" applyFill="1" applyBorder="1" applyAlignment="1" applyProtection="1">
      <alignment horizontal="center"/>
    </xf>
    <xf numFmtId="1" fontId="33" fillId="27" borderId="106" xfId="0" applyNumberFormat="1" applyFont="1" applyFill="1" applyBorder="1" applyAlignment="1" applyProtection="1">
      <alignment horizontal="center"/>
    </xf>
    <xf numFmtId="1" fontId="28" fillId="27" borderId="39" xfId="0" applyNumberFormat="1" applyFont="1" applyFill="1" applyBorder="1" applyAlignment="1" applyProtection="1">
      <alignment horizontal="center" vertical="center"/>
    </xf>
    <xf numFmtId="1" fontId="33" fillId="0" borderId="39" xfId="0" applyNumberFormat="1" applyFont="1" applyBorder="1" applyAlignment="1" applyProtection="1">
      <alignment horizontal="center"/>
    </xf>
    <xf numFmtId="164" fontId="28" fillId="0" borderId="108" xfId="0" applyNumberFormat="1" applyFont="1" applyBorder="1" applyAlignment="1" applyProtection="1">
      <alignment horizontal="center"/>
    </xf>
    <xf numFmtId="164" fontId="66" fillId="31" borderId="0" xfId="0" applyNumberFormat="1" applyFont="1" applyFill="1" applyBorder="1" applyAlignment="1" applyProtection="1">
      <alignment horizontal="center" vertical="center" wrapText="1"/>
      <protection locked="0"/>
    </xf>
    <xf numFmtId="164" fontId="66" fillId="31" borderId="50" xfId="0" applyNumberFormat="1" applyFont="1" applyFill="1" applyBorder="1" applyAlignment="1" applyProtection="1">
      <alignment horizontal="center" vertical="center" wrapText="1"/>
      <protection locked="0"/>
    </xf>
    <xf numFmtId="164" fontId="40" fillId="38" borderId="56" xfId="0" applyNumberFormat="1" applyFont="1" applyFill="1" applyBorder="1" applyAlignment="1" applyProtection="1">
      <alignment horizontal="center" vertical="center"/>
    </xf>
    <xf numFmtId="164" fontId="40" fillId="38" borderId="53" xfId="0" applyNumberFormat="1" applyFont="1" applyFill="1" applyBorder="1" applyAlignment="1" applyProtection="1">
      <alignment horizontal="center" vertical="center"/>
    </xf>
    <xf numFmtId="0" fontId="40" fillId="0" borderId="47" xfId="0" applyFont="1" applyBorder="1" applyAlignment="1" applyProtection="1">
      <alignment horizontal="center" vertical="center" wrapText="1"/>
    </xf>
    <xf numFmtId="0" fontId="40" fillId="36" borderId="47" xfId="0" applyFont="1" applyFill="1" applyBorder="1" applyAlignment="1" applyProtection="1">
      <alignment horizontal="center" vertical="center" wrapText="1"/>
    </xf>
    <xf numFmtId="0" fontId="39" fillId="42" borderId="55" xfId="0" applyFont="1" applyFill="1" applyBorder="1" applyAlignment="1" applyProtection="1">
      <alignment horizontal="center" vertical="center"/>
      <protection locked="0"/>
    </xf>
    <xf numFmtId="0" fontId="40" fillId="39" borderId="36" xfId="0" applyFont="1" applyFill="1" applyBorder="1" applyAlignment="1" applyProtection="1">
      <alignment horizontal="center" vertical="center"/>
      <protection locked="0"/>
    </xf>
    <xf numFmtId="1" fontId="40" fillId="39" borderId="36" xfId="0" applyNumberFormat="1" applyFont="1" applyFill="1" applyBorder="1" applyAlignment="1" applyProtection="1">
      <alignment horizontal="center" vertical="center"/>
      <protection locked="0"/>
    </xf>
    <xf numFmtId="165" fontId="40" fillId="38" borderId="22" xfId="0" applyNumberFormat="1" applyFont="1" applyFill="1" applyBorder="1" applyAlignment="1" applyProtection="1">
      <alignment horizontal="center" vertical="center"/>
    </xf>
    <xf numFmtId="165" fontId="58" fillId="36" borderId="22" xfId="0" applyNumberFormat="1" applyFont="1" applyFill="1" applyBorder="1" applyAlignment="1" applyProtection="1">
      <alignment horizontal="center" vertical="center"/>
    </xf>
    <xf numFmtId="1" fontId="40" fillId="38" borderId="52" xfId="0" applyNumberFormat="1" applyFont="1" applyFill="1" applyBorder="1" applyAlignment="1" applyProtection="1">
      <alignment horizontal="center" vertical="center"/>
    </xf>
    <xf numFmtId="2" fontId="50" fillId="36" borderId="55" xfId="0" applyNumberFormat="1" applyFont="1" applyFill="1" applyBorder="1" applyAlignment="1" applyProtection="1">
      <alignment horizontal="center" vertical="center"/>
    </xf>
    <xf numFmtId="164" fontId="40" fillId="40" borderId="24" xfId="0" applyNumberFormat="1" applyFont="1" applyFill="1" applyBorder="1" applyAlignment="1" applyProtection="1">
      <alignment horizontal="center" vertical="center"/>
      <protection locked="0"/>
    </xf>
    <xf numFmtId="2" fontId="40" fillId="31" borderId="47" xfId="0" applyNumberFormat="1" applyFont="1" applyFill="1" applyBorder="1" applyAlignment="1" applyProtection="1">
      <alignment horizontal="center" vertical="center"/>
      <protection locked="0"/>
    </xf>
    <xf numFmtId="164" fontId="66" fillId="31" borderId="22" xfId="0" applyNumberFormat="1" applyFont="1" applyFill="1" applyBorder="1" applyAlignment="1" applyProtection="1">
      <alignment horizontal="center" vertical="center" wrapText="1"/>
      <protection locked="0"/>
    </xf>
    <xf numFmtId="164" fontId="66" fillId="36" borderId="24" xfId="0" applyNumberFormat="1" applyFont="1" applyFill="1" applyBorder="1" applyAlignment="1" applyProtection="1">
      <alignment horizontal="center" vertical="center" wrapText="1"/>
    </xf>
    <xf numFmtId="1" fontId="66" fillId="36" borderId="22" xfId="0" applyNumberFormat="1" applyFont="1" applyFill="1" applyBorder="1" applyAlignment="1" applyProtection="1">
      <alignment horizontal="center" vertical="center" wrapText="1"/>
    </xf>
    <xf numFmtId="164" fontId="40" fillId="38" borderId="52" xfId="0" applyNumberFormat="1" applyFont="1" applyFill="1" applyBorder="1" applyAlignment="1" applyProtection="1">
      <alignment horizontal="center" vertical="center"/>
    </xf>
    <xf numFmtId="1" fontId="40" fillId="39" borderId="25" xfId="0" applyNumberFormat="1" applyFont="1" applyFill="1" applyBorder="1" applyAlignment="1" applyProtection="1">
      <alignment horizontal="center" vertical="center"/>
      <protection locked="0"/>
    </xf>
    <xf numFmtId="1" fontId="58" fillId="31" borderId="25" xfId="0" applyNumberFormat="1" applyFont="1" applyFill="1" applyBorder="1" applyAlignment="1" applyProtection="1">
      <alignment horizontal="center" vertical="center"/>
      <protection locked="0"/>
    </xf>
    <xf numFmtId="1" fontId="58" fillId="31" borderId="24" xfId="0" applyNumberFormat="1" applyFont="1" applyFill="1" applyBorder="1" applyAlignment="1" applyProtection="1">
      <alignment horizontal="center" vertical="center"/>
      <protection locked="0"/>
    </xf>
    <xf numFmtId="1" fontId="58" fillId="31" borderId="22" xfId="0" applyNumberFormat="1" applyFont="1" applyFill="1" applyBorder="1" applyAlignment="1" applyProtection="1">
      <alignment horizontal="center" vertical="center"/>
      <protection locked="0"/>
    </xf>
    <xf numFmtId="2" fontId="58" fillId="31" borderId="22" xfId="0" applyNumberFormat="1" applyFont="1" applyFill="1" applyBorder="1" applyAlignment="1" applyProtection="1">
      <alignment horizontal="center" vertical="center"/>
      <protection locked="0"/>
    </xf>
    <xf numFmtId="1" fontId="58" fillId="36" borderId="28" xfId="0" applyNumberFormat="1" applyFont="1" applyFill="1" applyBorder="1" applyAlignment="1" applyProtection="1">
      <alignment horizontal="center" vertical="center"/>
    </xf>
    <xf numFmtId="1" fontId="58" fillId="36" borderId="14" xfId="0" applyNumberFormat="1" applyFont="1" applyFill="1" applyBorder="1" applyAlignment="1" applyProtection="1">
      <alignment horizontal="center" vertical="center"/>
    </xf>
    <xf numFmtId="1" fontId="40" fillId="36" borderId="14" xfId="0" applyNumberFormat="1" applyFont="1" applyFill="1" applyBorder="1" applyAlignment="1" applyProtection="1">
      <alignment horizontal="center" vertical="center"/>
    </xf>
    <xf numFmtId="2" fontId="58" fillId="31" borderId="90" xfId="0" applyNumberFormat="1" applyFont="1" applyFill="1" applyBorder="1" applyAlignment="1" applyProtection="1">
      <alignment horizontal="center" vertical="center"/>
      <protection locked="0"/>
    </xf>
    <xf numFmtId="164" fontId="36" fillId="38" borderId="22" xfId="0" applyNumberFormat="1" applyFont="1" applyFill="1" applyBorder="1" applyAlignment="1" applyProtection="1">
      <alignment horizontal="center" vertical="center"/>
    </xf>
    <xf numFmtId="2" fontId="36" fillId="38" borderId="22" xfId="0" applyNumberFormat="1" applyFont="1" applyFill="1" applyBorder="1" applyAlignment="1" applyProtection="1">
      <alignment horizontal="center" vertical="center"/>
    </xf>
    <xf numFmtId="2" fontId="36" fillId="38" borderId="52" xfId="0" applyNumberFormat="1" applyFont="1" applyFill="1" applyBorder="1" applyAlignment="1" applyProtection="1">
      <alignment horizontal="center" vertical="center"/>
    </xf>
    <xf numFmtId="2" fontId="36" fillId="36" borderId="47" xfId="0" applyNumberFormat="1" applyFont="1" applyFill="1" applyBorder="1" applyAlignment="1" applyProtection="1">
      <alignment horizontal="center" vertical="center"/>
    </xf>
    <xf numFmtId="165" fontId="40" fillId="36" borderId="14" xfId="0" applyNumberFormat="1" applyFont="1" applyFill="1" applyBorder="1" applyAlignment="1" applyProtection="1">
      <alignment horizontal="center" vertical="center"/>
    </xf>
    <xf numFmtId="164" fontId="66" fillId="31" borderId="28" xfId="0" applyNumberFormat="1" applyFont="1" applyFill="1" applyBorder="1" applyAlignment="1" applyProtection="1">
      <alignment horizontal="center" vertical="center" wrapText="1"/>
      <protection locked="0"/>
    </xf>
    <xf numFmtId="164" fontId="40" fillId="39" borderId="14" xfId="0" applyNumberFormat="1" applyFont="1" applyFill="1" applyBorder="1" applyAlignment="1" applyProtection="1">
      <alignment horizontal="center" vertical="center"/>
      <protection locked="0"/>
    </xf>
    <xf numFmtId="164" fontId="66" fillId="31" borderId="23" xfId="0" applyNumberFormat="1" applyFont="1" applyFill="1" applyBorder="1" applyAlignment="1" applyProtection="1">
      <alignment horizontal="center" vertical="center" wrapText="1"/>
      <protection locked="0"/>
    </xf>
    <xf numFmtId="164" fontId="40" fillId="36" borderId="28" xfId="0" applyNumberFormat="1" applyFont="1" applyFill="1" applyBorder="1" applyAlignment="1" applyProtection="1">
      <alignment horizontal="center" vertical="center"/>
    </xf>
    <xf numFmtId="164" fontId="40" fillId="36" borderId="14" xfId="0" applyNumberFormat="1" applyFont="1" applyFill="1" applyBorder="1" applyAlignment="1" applyProtection="1">
      <alignment horizontal="center" vertical="center"/>
    </xf>
    <xf numFmtId="164" fontId="58" fillId="36" borderId="14" xfId="0" applyNumberFormat="1" applyFont="1" applyFill="1" applyBorder="1" applyAlignment="1" applyProtection="1">
      <alignment horizontal="center" vertical="center"/>
    </xf>
    <xf numFmtId="165" fontId="40" fillId="36" borderId="117" xfId="0" applyNumberFormat="1" applyFont="1" applyFill="1" applyBorder="1" applyAlignment="1" applyProtection="1">
      <alignment horizontal="center" vertical="center"/>
    </xf>
    <xf numFmtId="0" fontId="41" fillId="0" borderId="62" xfId="0" applyFont="1" applyBorder="1" applyAlignment="1" applyProtection="1">
      <alignment vertical="center"/>
    </xf>
    <xf numFmtId="0" fontId="39" fillId="0" borderId="15" xfId="0" applyFont="1" applyBorder="1" applyAlignment="1" applyProtection="1">
      <alignment horizontal="left" vertical="center" wrapText="1" indent="1"/>
    </xf>
    <xf numFmtId="0" fontId="40" fillId="0" borderId="58" xfId="0" applyFont="1" applyBorder="1" applyAlignment="1" applyProtection="1">
      <alignment horizontal="left" vertical="center" indent="1"/>
    </xf>
    <xf numFmtId="0" fontId="40" fillId="0" borderId="15" xfId="0" applyFont="1" applyBorder="1" applyAlignment="1" applyProtection="1">
      <alignment horizontal="left" vertical="center" indent="1"/>
    </xf>
    <xf numFmtId="0" fontId="50" fillId="0" borderId="15" xfId="0" applyFont="1" applyBorder="1" applyAlignment="1" applyProtection="1">
      <alignment horizontal="left" vertical="center" indent="1"/>
    </xf>
    <xf numFmtId="0" fontId="50" fillId="0" borderId="122" xfId="0" applyFont="1" applyBorder="1" applyAlignment="1" applyProtection="1">
      <alignment horizontal="left" vertical="center" indent="1"/>
    </xf>
    <xf numFmtId="0" fontId="34" fillId="0" borderId="15" xfId="0" applyFont="1" applyBorder="1" applyAlignment="1" applyProtection="1">
      <alignment horizontal="left" vertical="center" indent="1"/>
    </xf>
    <xf numFmtId="0" fontId="66" fillId="0" borderId="15" xfId="0" applyFont="1" applyFill="1" applyBorder="1" applyAlignment="1" applyProtection="1">
      <alignment horizontal="left" vertical="center" wrapText="1" indent="1"/>
    </xf>
    <xf numFmtId="0" fontId="40" fillId="0" borderId="15" xfId="0" applyFont="1" applyFill="1" applyBorder="1" applyAlignment="1" applyProtection="1">
      <alignment horizontal="left" vertical="center" indent="1"/>
    </xf>
    <xf numFmtId="0" fontId="40" fillId="0" borderId="122" xfId="0" applyFont="1" applyBorder="1" applyAlignment="1" applyProtection="1">
      <alignment horizontal="left" vertical="center" indent="1"/>
    </xf>
    <xf numFmtId="0" fontId="58" fillId="0" borderId="15" xfId="0" applyFont="1" applyBorder="1" applyAlignment="1" applyProtection="1">
      <alignment horizontal="left" vertical="center" indent="1"/>
    </xf>
    <xf numFmtId="0" fontId="36" fillId="0" borderId="15" xfId="0" applyFont="1" applyBorder="1" applyAlignment="1" applyProtection="1">
      <alignment horizontal="left" vertical="center" indent="1"/>
    </xf>
    <xf numFmtId="0" fontId="36" fillId="0" borderId="122" xfId="0" applyFont="1" applyBorder="1" applyAlignment="1" applyProtection="1">
      <alignment horizontal="left" vertical="center" indent="1"/>
    </xf>
    <xf numFmtId="0" fontId="40" fillId="0" borderId="15" xfId="0" applyFont="1" applyBorder="1" applyAlignment="1" applyProtection="1">
      <alignment horizontal="left" vertical="center" wrapText="1" indent="1"/>
    </xf>
    <xf numFmtId="0" fontId="66" fillId="0" borderId="15" xfId="0" applyFont="1" applyFill="1" applyBorder="1" applyAlignment="1" applyProtection="1">
      <alignment horizontal="left" vertical="center" wrapText="1" indent="1"/>
      <protection locked="0"/>
    </xf>
    <xf numFmtId="0" fontId="58" fillId="0" borderId="15" xfId="0" applyFont="1" applyFill="1" applyBorder="1" applyAlignment="1" applyProtection="1">
      <alignment horizontal="left" vertical="center" indent="1"/>
    </xf>
    <xf numFmtId="0" fontId="40" fillId="0" borderId="122" xfId="0" applyFont="1" applyFill="1" applyBorder="1" applyAlignment="1" applyProtection="1">
      <alignment horizontal="left" vertical="center" indent="1"/>
    </xf>
    <xf numFmtId="0" fontId="40" fillId="0" borderId="47" xfId="0" applyFont="1" applyBorder="1" applyAlignment="1" applyProtection="1">
      <alignment horizontal="center" vertical="center"/>
    </xf>
    <xf numFmtId="0" fontId="48" fillId="0" borderId="22" xfId="0" applyFont="1" applyBorder="1" applyAlignment="1" applyProtection="1">
      <alignment horizontal="center" vertical="center"/>
    </xf>
    <xf numFmtId="0" fontId="40" fillId="0" borderId="55" xfId="0" applyFont="1" applyBorder="1" applyAlignment="1" applyProtection="1">
      <alignment horizontal="center" vertical="center"/>
    </xf>
    <xf numFmtId="0" fontId="40" fillId="0" borderId="22" xfId="0" applyFont="1" applyBorder="1" applyAlignment="1" applyProtection="1">
      <alignment horizontal="center" vertical="center"/>
    </xf>
    <xf numFmtId="0" fontId="50" fillId="0" borderId="22" xfId="0" applyFont="1" applyBorder="1" applyAlignment="1" applyProtection="1">
      <alignment horizontal="center" vertical="center"/>
    </xf>
    <xf numFmtId="0" fontId="50" fillId="0" borderId="52" xfId="0" applyFont="1" applyBorder="1" applyAlignment="1" applyProtection="1">
      <alignment horizontal="center" vertical="center"/>
    </xf>
    <xf numFmtId="0" fontId="34" fillId="0" borderId="22" xfId="0" applyFont="1" applyBorder="1" applyAlignment="1" applyProtection="1">
      <alignment horizontal="center" vertical="center"/>
    </xf>
    <xf numFmtId="0" fontId="66" fillId="0" borderId="22" xfId="0" applyFont="1" applyFill="1" applyBorder="1" applyAlignment="1" applyProtection="1">
      <alignment horizontal="center" vertical="center" wrapText="1"/>
    </xf>
    <xf numFmtId="0" fontId="40" fillId="0" borderId="22" xfId="0" applyFont="1" applyFill="1" applyBorder="1" applyAlignment="1" applyProtection="1">
      <alignment horizontal="center" vertical="center"/>
    </xf>
    <xf numFmtId="0" fontId="40" fillId="0" borderId="52" xfId="0" applyFont="1" applyBorder="1" applyAlignment="1" applyProtection="1">
      <alignment horizontal="center" vertical="center"/>
    </xf>
    <xf numFmtId="0" fontId="58" fillId="0" borderId="22" xfId="0" applyFont="1" applyBorder="1" applyAlignment="1" applyProtection="1">
      <alignment horizontal="center" vertical="center"/>
    </xf>
    <xf numFmtId="0" fontId="0" fillId="0" borderId="22" xfId="0" applyBorder="1" applyAlignment="1" applyProtection="1">
      <alignment horizontal="center" vertical="center"/>
    </xf>
    <xf numFmtId="0" fontId="36" fillId="0" borderId="22" xfId="0" applyFont="1" applyBorder="1" applyAlignment="1" applyProtection="1">
      <alignment horizontal="center" vertical="center"/>
    </xf>
    <xf numFmtId="0" fontId="36" fillId="0" borderId="52" xfId="0" applyFont="1" applyBorder="1" applyAlignment="1" applyProtection="1">
      <alignment horizontal="center" vertical="center"/>
    </xf>
    <xf numFmtId="0" fontId="36" fillId="36" borderId="47" xfId="0" applyFont="1" applyFill="1" applyBorder="1" applyAlignment="1" applyProtection="1">
      <alignment horizontal="center" vertical="center"/>
    </xf>
    <xf numFmtId="0" fontId="66" fillId="0" borderId="22" xfId="0" applyFont="1" applyFill="1" applyBorder="1" applyAlignment="1" applyProtection="1">
      <alignment horizontal="center" vertical="center" wrapText="1"/>
      <protection locked="0"/>
    </xf>
    <xf numFmtId="0" fontId="0" fillId="0" borderId="0" xfId="0" applyAlignment="1">
      <alignment horizontal="left" indent="1"/>
    </xf>
    <xf numFmtId="1" fontId="0" fillId="0" borderId="0" xfId="0" applyNumberFormat="1" applyAlignment="1">
      <alignment horizontal="center"/>
    </xf>
    <xf numFmtId="1" fontId="40" fillId="43" borderId="22" xfId="0" applyNumberFormat="1" applyFont="1" applyFill="1" applyBorder="1" applyAlignment="1" applyProtection="1">
      <alignment horizontal="center" vertical="center"/>
    </xf>
    <xf numFmtId="1" fontId="40" fillId="43" borderId="0" xfId="0" applyNumberFormat="1" applyFont="1" applyFill="1" applyBorder="1" applyAlignment="1" applyProtection="1">
      <alignment horizontal="center" vertical="center"/>
    </xf>
    <xf numFmtId="1" fontId="40" fillId="43" borderId="50" xfId="0" applyNumberFormat="1" applyFont="1" applyFill="1" applyBorder="1" applyAlignment="1" applyProtection="1">
      <alignment horizontal="center" vertical="center"/>
    </xf>
    <xf numFmtId="0" fontId="1" fillId="0" borderId="0" xfId="0" applyFont="1" applyAlignment="1">
      <alignment horizontal="left" indent="1"/>
    </xf>
    <xf numFmtId="164" fontId="19" fillId="27" borderId="72" xfId="0" applyNumberFormat="1" applyFont="1" applyFill="1" applyBorder="1" applyAlignment="1">
      <alignment horizontal="center"/>
    </xf>
    <xf numFmtId="164" fontId="19" fillId="27" borderId="14" xfId="0" applyNumberFormat="1" applyFont="1" applyFill="1" applyBorder="1" applyAlignment="1">
      <alignment horizontal="center"/>
    </xf>
    <xf numFmtId="1" fontId="19" fillId="0" borderId="123" xfId="0" applyNumberFormat="1" applyFont="1" applyFill="1" applyBorder="1" applyAlignment="1">
      <alignment horizontal="center" vertical="center"/>
    </xf>
    <xf numFmtId="1" fontId="19" fillId="0" borderId="99" xfId="0" applyNumberFormat="1" applyFont="1" applyFill="1" applyBorder="1" applyAlignment="1">
      <alignment horizontal="center" vertical="center"/>
    </xf>
    <xf numFmtId="1" fontId="19" fillId="0" borderId="124" xfId="0" applyNumberFormat="1" applyFont="1" applyFill="1" applyBorder="1" applyAlignment="1">
      <alignment horizontal="center" vertical="center"/>
    </xf>
    <xf numFmtId="1" fontId="19" fillId="0" borderId="125" xfId="0" applyNumberFormat="1" applyFont="1" applyFill="1" applyBorder="1" applyAlignment="1">
      <alignment horizontal="center" vertical="center"/>
    </xf>
    <xf numFmtId="165" fontId="44" fillId="44" borderId="75" xfId="0" applyNumberFormat="1" applyFont="1" applyFill="1" applyBorder="1" applyAlignment="1">
      <alignment horizontal="center" vertical="center"/>
    </xf>
    <xf numFmtId="165" fontId="44" fillId="44" borderId="126" xfId="0" applyNumberFormat="1" applyFont="1" applyFill="1" applyBorder="1" applyAlignment="1">
      <alignment horizontal="center" vertical="center"/>
    </xf>
    <xf numFmtId="165" fontId="44" fillId="44" borderId="127" xfId="0" applyNumberFormat="1" applyFont="1" applyFill="1" applyBorder="1" applyAlignment="1">
      <alignment horizontal="center" vertical="center"/>
    </xf>
    <xf numFmtId="165" fontId="44" fillId="44" borderId="74" xfId="0" applyNumberFormat="1" applyFont="1" applyFill="1" applyBorder="1" applyAlignment="1">
      <alignment horizontal="center" vertical="center"/>
    </xf>
    <xf numFmtId="1" fontId="44" fillId="44" borderId="73" xfId="0" applyNumberFormat="1" applyFont="1" applyFill="1" applyBorder="1" applyAlignment="1">
      <alignment horizontal="center" vertical="center"/>
    </xf>
    <xf numFmtId="1" fontId="44" fillId="44" borderId="19" xfId="0" applyNumberFormat="1" applyFont="1" applyFill="1" applyBorder="1" applyAlignment="1">
      <alignment horizontal="center" vertical="center"/>
    </xf>
    <xf numFmtId="1" fontId="44" fillId="44" borderId="72" xfId="0" applyNumberFormat="1" applyFont="1" applyFill="1" applyBorder="1" applyAlignment="1">
      <alignment horizontal="center" vertical="center"/>
    </xf>
    <xf numFmtId="164" fontId="44" fillId="44" borderId="73" xfId="0" applyNumberFormat="1" applyFont="1" applyFill="1" applyBorder="1" applyAlignment="1">
      <alignment horizontal="center" vertical="center"/>
    </xf>
    <xf numFmtId="164" fontId="44" fillId="44" borderId="19" xfId="0" applyNumberFormat="1" applyFont="1" applyFill="1" applyBorder="1" applyAlignment="1">
      <alignment horizontal="center" vertical="center"/>
    </xf>
    <xf numFmtId="164" fontId="44" fillId="44" borderId="72" xfId="0" applyNumberFormat="1" applyFont="1" applyFill="1" applyBorder="1" applyAlignment="1">
      <alignment horizontal="center" vertical="center"/>
    </xf>
    <xf numFmtId="2" fontId="44" fillId="44" borderId="73" xfId="0" applyNumberFormat="1" applyFont="1" applyFill="1" applyBorder="1" applyAlignment="1">
      <alignment horizontal="center" vertical="center"/>
    </xf>
    <xf numFmtId="2" fontId="44" fillId="44" borderId="19" xfId="0" applyNumberFormat="1" applyFont="1" applyFill="1" applyBorder="1" applyAlignment="1">
      <alignment horizontal="center" vertical="center"/>
    </xf>
    <xf numFmtId="2" fontId="44" fillId="44" borderId="72" xfId="0" applyNumberFormat="1" applyFont="1" applyFill="1" applyBorder="1" applyAlignment="1">
      <alignment horizontal="center" vertical="center"/>
    </xf>
    <xf numFmtId="2" fontId="44" fillId="44" borderId="71" xfId="0" applyNumberFormat="1" applyFont="1" applyFill="1" applyBorder="1" applyAlignment="1" applyProtection="1">
      <alignment horizontal="center" vertical="center"/>
    </xf>
    <xf numFmtId="2" fontId="44" fillId="44" borderId="128" xfId="0" applyNumberFormat="1" applyFont="1" applyFill="1" applyBorder="1" applyAlignment="1" applyProtection="1">
      <alignment horizontal="center" vertical="center"/>
    </xf>
    <xf numFmtId="2" fontId="44" fillId="44" borderId="70" xfId="0" applyNumberFormat="1" applyFont="1" applyFill="1" applyBorder="1" applyAlignment="1" applyProtection="1">
      <alignment horizontal="center" vertical="center"/>
    </xf>
    <xf numFmtId="1" fontId="19" fillId="27" borderId="75" xfId="0" applyNumberFormat="1" applyFont="1" applyFill="1" applyBorder="1" applyAlignment="1" applyProtection="1">
      <alignment horizontal="center" vertical="center"/>
    </xf>
    <xf numFmtId="1" fontId="19" fillId="27" borderId="27" xfId="0" applyNumberFormat="1" applyFont="1" applyFill="1" applyBorder="1" applyAlignment="1" applyProtection="1">
      <alignment horizontal="center" vertical="center"/>
    </xf>
    <xf numFmtId="1" fontId="19" fillId="27" borderId="74" xfId="0" applyNumberFormat="1" applyFont="1" applyFill="1" applyBorder="1" applyAlignment="1" applyProtection="1">
      <alignment horizontal="center" vertical="center"/>
    </xf>
    <xf numFmtId="164" fontId="44" fillId="27" borderId="73" xfId="0" applyNumberFormat="1" applyFont="1" applyFill="1" applyBorder="1" applyAlignment="1">
      <alignment horizontal="center" vertical="center"/>
    </xf>
    <xf numFmtId="164" fontId="44" fillId="27" borderId="19" xfId="0" applyNumberFormat="1" applyFont="1" applyFill="1" applyBorder="1" applyAlignment="1">
      <alignment horizontal="center" vertical="center"/>
    </xf>
    <xf numFmtId="164" fontId="44" fillId="27" borderId="72" xfId="0" applyNumberFormat="1" applyFont="1" applyFill="1" applyBorder="1" applyAlignment="1">
      <alignment horizontal="center" vertical="center"/>
    </xf>
    <xf numFmtId="2" fontId="44" fillId="27" borderId="73" xfId="0" applyNumberFormat="1" applyFont="1" applyFill="1" applyBorder="1" applyAlignment="1">
      <alignment horizontal="center" vertical="center"/>
    </xf>
    <xf numFmtId="2" fontId="44" fillId="27" borderId="19" xfId="0" applyNumberFormat="1" applyFont="1" applyFill="1" applyBorder="1" applyAlignment="1">
      <alignment horizontal="center" vertical="center"/>
    </xf>
    <xf numFmtId="2" fontId="44" fillId="27" borderId="72" xfId="0" applyNumberFormat="1" applyFont="1" applyFill="1" applyBorder="1" applyAlignment="1">
      <alignment horizontal="center" vertical="center"/>
    </xf>
    <xf numFmtId="164" fontId="0" fillId="0" borderId="73" xfId="0" applyNumberFormat="1" applyBorder="1" applyAlignment="1">
      <alignment horizontal="center" vertical="center"/>
    </xf>
    <xf numFmtId="164" fontId="0" fillId="0" borderId="19" xfId="0" applyNumberFormat="1" applyBorder="1" applyAlignment="1">
      <alignment horizontal="center" vertical="center"/>
    </xf>
    <xf numFmtId="164" fontId="0" fillId="0" borderId="81" xfId="0" applyNumberFormat="1" applyBorder="1" applyAlignment="1">
      <alignment horizontal="center" vertical="center"/>
    </xf>
    <xf numFmtId="164" fontId="44" fillId="27" borderId="78" xfId="0" applyNumberFormat="1" applyFont="1" applyFill="1" applyBorder="1" applyAlignment="1">
      <alignment horizontal="center" vertical="center"/>
    </xf>
    <xf numFmtId="164" fontId="44" fillId="27" borderId="128" xfId="0" applyNumberFormat="1" applyFont="1" applyFill="1" applyBorder="1" applyAlignment="1">
      <alignment horizontal="center" vertical="center"/>
    </xf>
    <xf numFmtId="164" fontId="44" fillId="27" borderId="71" xfId="0" applyNumberFormat="1" applyFont="1" applyFill="1" applyBorder="1" applyAlignment="1">
      <alignment horizontal="center" vertical="center"/>
    </xf>
    <xf numFmtId="164" fontId="44" fillId="27" borderId="70" xfId="0" applyNumberFormat="1" applyFont="1" applyFill="1" applyBorder="1" applyAlignment="1">
      <alignment horizontal="center" vertical="center"/>
    </xf>
    <xf numFmtId="0" fontId="20" fillId="0" borderId="98" xfId="0" applyFont="1" applyBorder="1" applyAlignment="1">
      <alignment horizontal="left" vertical="center" indent="1"/>
    </xf>
    <xf numFmtId="0" fontId="44" fillId="27" borderId="82" xfId="0" applyFont="1" applyFill="1" applyBorder="1" applyAlignment="1" applyProtection="1">
      <alignment horizontal="left" vertical="center" indent="1"/>
    </xf>
    <xf numFmtId="0" fontId="44" fillId="27" borderId="81" xfId="0" applyFont="1" applyFill="1" applyBorder="1" applyAlignment="1" applyProtection="1">
      <alignment horizontal="left" vertical="center" indent="1"/>
    </xf>
    <xf numFmtId="0" fontId="44" fillId="27" borderId="84" xfId="0" applyFont="1" applyFill="1" applyBorder="1" applyAlignment="1" applyProtection="1">
      <alignment horizontal="left" vertical="center" indent="1"/>
    </xf>
    <xf numFmtId="0" fontId="44" fillId="27" borderId="85" xfId="0" applyFont="1" applyFill="1" applyBorder="1" applyAlignment="1" applyProtection="1">
      <alignment horizontal="left" vertical="center" indent="1"/>
    </xf>
    <xf numFmtId="165" fontId="44" fillId="44" borderId="129" xfId="0" applyNumberFormat="1" applyFont="1" applyFill="1" applyBorder="1" applyAlignment="1">
      <alignment horizontal="center" vertical="center"/>
    </xf>
    <xf numFmtId="1" fontId="44" fillId="44" borderId="49" xfId="0" applyNumberFormat="1" applyFont="1" applyFill="1" applyBorder="1" applyAlignment="1">
      <alignment horizontal="center" vertical="center"/>
    </xf>
    <xf numFmtId="164" fontId="44" fillId="44" borderId="49" xfId="0" applyNumberFormat="1" applyFont="1" applyFill="1" applyBorder="1" applyAlignment="1">
      <alignment horizontal="center" vertical="center"/>
    </xf>
    <xf numFmtId="2" fontId="44" fillId="44" borderId="49" xfId="0" applyNumberFormat="1" applyFont="1" applyFill="1" applyBorder="1" applyAlignment="1">
      <alignment horizontal="center" vertical="center"/>
    </xf>
    <xf numFmtId="2" fontId="44" fillId="44" borderId="130" xfId="0" applyNumberFormat="1" applyFont="1" applyFill="1" applyBorder="1" applyAlignment="1" applyProtection="1">
      <alignment horizontal="center" vertical="center"/>
    </xf>
    <xf numFmtId="1" fontId="19" fillId="27" borderId="131" xfId="0" applyNumberFormat="1" applyFont="1" applyFill="1" applyBorder="1" applyAlignment="1" applyProtection="1">
      <alignment horizontal="center" vertical="center"/>
    </xf>
    <xf numFmtId="164" fontId="44" fillId="27" borderId="49" xfId="0" applyNumberFormat="1" applyFont="1" applyFill="1" applyBorder="1" applyAlignment="1">
      <alignment horizontal="center" vertical="center"/>
    </xf>
    <xf numFmtId="2" fontId="44" fillId="27" borderId="49" xfId="0" applyNumberFormat="1" applyFont="1" applyFill="1" applyBorder="1" applyAlignment="1">
      <alignment horizontal="center" vertical="center"/>
    </xf>
    <xf numFmtId="164" fontId="0" fillId="0" borderId="49" xfId="0" applyNumberFormat="1" applyBorder="1" applyAlignment="1">
      <alignment horizontal="center" vertical="center"/>
    </xf>
    <xf numFmtId="164" fontId="44" fillId="27" borderId="132" xfId="0" applyNumberFormat="1" applyFont="1" applyFill="1" applyBorder="1" applyAlignment="1">
      <alignment horizontal="center" vertical="center"/>
    </xf>
    <xf numFmtId="166" fontId="0" fillId="36" borderId="22" xfId="0" applyNumberFormat="1" applyFill="1" applyBorder="1" applyAlignment="1">
      <alignment horizontal="center" vertical="distributed"/>
    </xf>
    <xf numFmtId="164" fontId="40" fillId="31" borderId="87" xfId="0" applyNumberFormat="1" applyFont="1" applyFill="1" applyBorder="1" applyAlignment="1" applyProtection="1">
      <alignment horizontal="center" vertical="center"/>
      <protection locked="0"/>
    </xf>
    <xf numFmtId="164" fontId="40" fillId="31" borderId="133" xfId="0" applyNumberFormat="1" applyFont="1" applyFill="1" applyBorder="1" applyAlignment="1" applyProtection="1">
      <alignment horizontal="center" vertical="center"/>
      <protection locked="0"/>
    </xf>
    <xf numFmtId="164" fontId="40" fillId="31" borderId="105" xfId="0" applyNumberFormat="1" applyFont="1" applyFill="1" applyBorder="1" applyAlignment="1" applyProtection="1">
      <alignment horizontal="center" vertical="center"/>
      <protection locked="0"/>
    </xf>
  </cellXfs>
  <cellStyles count="83">
    <cellStyle name="20 % - Markeringsfarve1" xfId="1"/>
    <cellStyle name="20 % - Markeringsfarve2" xfId="2"/>
    <cellStyle name="20 % - Markeringsfarve3" xfId="3"/>
    <cellStyle name="20 % - Markeringsfarve4" xfId="4"/>
    <cellStyle name="20 % - Markeringsfarve5" xfId="5"/>
    <cellStyle name="20 % - Markeringsfarve6" xfId="6"/>
    <cellStyle name="20% - Accent1" xfId="7"/>
    <cellStyle name="20% - Accent2" xfId="8"/>
    <cellStyle name="20% - Accent3" xfId="9"/>
    <cellStyle name="20% - Accent4" xfId="10"/>
    <cellStyle name="20% - Accent5" xfId="11"/>
    <cellStyle name="20% - Accent6" xfId="12"/>
    <cellStyle name="40 % - Markeringsfarve1" xfId="13"/>
    <cellStyle name="40 % - Markeringsfarve2" xfId="14"/>
    <cellStyle name="40 % - Markeringsfarve3" xfId="15"/>
    <cellStyle name="40 % - Markeringsfarve4" xfId="16"/>
    <cellStyle name="40 % - Markeringsfarve5" xfId="17"/>
    <cellStyle name="40 % - Markeringsfarve6" xfId="18"/>
    <cellStyle name="40% - Accent1" xfId="19"/>
    <cellStyle name="40% - Accent2" xfId="20"/>
    <cellStyle name="40% - Accent3" xfId="21"/>
    <cellStyle name="40% - Accent4" xfId="22"/>
    <cellStyle name="40% - Accent5" xfId="23"/>
    <cellStyle name="40% - Accent6" xfId="24"/>
    <cellStyle name="60 % - Markeringsfarve1" xfId="25"/>
    <cellStyle name="60 % - Markeringsfarve2" xfId="26"/>
    <cellStyle name="60 % - Markeringsfarve3" xfId="27"/>
    <cellStyle name="60 % - Markeringsfarve4" xfId="28"/>
    <cellStyle name="60 % - Markeringsfarve5" xfId="29"/>
    <cellStyle name="60 % - Markeringsfarve6" xfId="30"/>
    <cellStyle name="60% - Accent1" xfId="31"/>
    <cellStyle name="60% - Accent2" xfId="32"/>
    <cellStyle name="60% - Accent3" xfId="33"/>
    <cellStyle name="60% - Accent4" xfId="34"/>
    <cellStyle name="60% - Accent5" xfId="35"/>
    <cellStyle name="60% - Accent6" xfId="36"/>
    <cellStyle name="Accent1" xfId="37"/>
    <cellStyle name="Accent2" xfId="38"/>
    <cellStyle name="Accent3" xfId="39"/>
    <cellStyle name="Accent4" xfId="40"/>
    <cellStyle name="Accent5" xfId="41"/>
    <cellStyle name="Accent6" xfId="42"/>
    <cellStyle name="Advarselstekst" xfId="43"/>
    <cellStyle name="Bad" xfId="44"/>
    <cellStyle name="Bemærk!" xfId="45"/>
    <cellStyle name="Beregning" xfId="46"/>
    <cellStyle name="Calculation" xfId="47"/>
    <cellStyle name="Check Cell" xfId="48"/>
    <cellStyle name="Explanatory Text" xfId="49"/>
    <cellStyle name="Forklarende tekst" xfId="50"/>
    <cellStyle name="God" xfId="51"/>
    <cellStyle name="Good" xfId="52"/>
    <cellStyle name="Heading 1" xfId="53"/>
    <cellStyle name="Heading 2" xfId="54"/>
    <cellStyle name="Heading 3" xfId="55"/>
    <cellStyle name="Heading 4" xfId="56"/>
    <cellStyle name="Input" xfId="57" builtinId="20" customBuiltin="1"/>
    <cellStyle name="Kontroller celle" xfId="58"/>
    <cellStyle name="Linked Cell" xfId="59"/>
    <cellStyle name="Markeringsfarve1" xfId="60"/>
    <cellStyle name="Markeringsfarve2" xfId="61"/>
    <cellStyle name="Markeringsfarve3" xfId="62"/>
    <cellStyle name="Markeringsfarve4" xfId="63"/>
    <cellStyle name="Markeringsfarve5" xfId="64"/>
    <cellStyle name="Markeringsfarve6" xfId="65"/>
    <cellStyle name="Neutral" xfId="66" builtinId="28" customBuiltin="1"/>
    <cellStyle name="Normal" xfId="0" builtinId="0"/>
    <cellStyle name="Normal 2" xfId="67"/>
    <cellStyle name="Normal 2 2" xfId="68"/>
    <cellStyle name="Normal 2 2 2" xfId="69"/>
    <cellStyle name="Normal 2 2 2 2" xfId="70"/>
    <cellStyle name="Note" xfId="71"/>
    <cellStyle name="Output" xfId="72" builtinId="21" customBuiltin="1"/>
    <cellStyle name="Overskrift 1" xfId="73"/>
    <cellStyle name="Overskrift 2" xfId="74"/>
    <cellStyle name="Overskrift 3" xfId="75"/>
    <cellStyle name="Overskrift 4" xfId="76"/>
    <cellStyle name="Sammenkædet celle" xfId="77"/>
    <cellStyle name="Titel" xfId="78"/>
    <cellStyle name="Title" xfId="79"/>
    <cellStyle name="Total" xfId="80" builtinId="25" customBuiltin="1"/>
    <cellStyle name="Ugyldig" xfId="81"/>
    <cellStyle name="Warning Text" xfId="8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4756315090387E-2"/>
          <c:y val="6.9943547464066433E-2"/>
          <c:w val="0.8927651394835131"/>
          <c:h val="0.88658172326073392"/>
        </c:manualLayout>
      </c:layout>
      <c:scatterChart>
        <c:scatterStyle val="smoothMarker"/>
        <c:varyColors val="0"/>
        <c:ser>
          <c:idx val="0"/>
          <c:order val="0"/>
          <c:tx>
            <c:v>MAN Diesel 6S80ME-C8.2 - EGB low load tuning</c:v>
          </c:tx>
          <c:spPr>
            <a:ln w="25400">
              <a:solidFill>
                <a:srgbClr val="008000"/>
              </a:solidFill>
              <a:prstDash val="solid"/>
            </a:ln>
          </c:spPr>
          <c:marker>
            <c:symbol val="none"/>
          </c:marker>
          <c:xVal>
            <c:numRef>
              <c:f>'Low load SFOC'!$A$4:$A$19</c:f>
              <c:numCache>
                <c:formatCode>General</c:formatCode>
                <c:ptCount val="16"/>
                <c:pt idx="0">
                  <c:v>25</c:v>
                </c:pt>
                <c:pt idx="1">
                  <c:v>30</c:v>
                </c:pt>
                <c:pt idx="2">
                  <c:v>35</c:v>
                </c:pt>
                <c:pt idx="3">
                  <c:v>40</c:v>
                </c:pt>
                <c:pt idx="4">
                  <c:v>45</c:v>
                </c:pt>
                <c:pt idx="5">
                  <c:v>50</c:v>
                </c:pt>
                <c:pt idx="6">
                  <c:v>55</c:v>
                </c:pt>
                <c:pt idx="7">
                  <c:v>60</c:v>
                </c:pt>
                <c:pt idx="8">
                  <c:v>65</c:v>
                </c:pt>
                <c:pt idx="9">
                  <c:v>70</c:v>
                </c:pt>
                <c:pt idx="10">
                  <c:v>75</c:v>
                </c:pt>
                <c:pt idx="11">
                  <c:v>80</c:v>
                </c:pt>
                <c:pt idx="12">
                  <c:v>85</c:v>
                </c:pt>
                <c:pt idx="13">
                  <c:v>90</c:v>
                </c:pt>
                <c:pt idx="14">
                  <c:v>95</c:v>
                </c:pt>
                <c:pt idx="15">
                  <c:v>100</c:v>
                </c:pt>
              </c:numCache>
            </c:numRef>
          </c:xVal>
          <c:yVal>
            <c:numRef>
              <c:f>'Low load SFOC'!$C$4:$C$19</c:f>
              <c:numCache>
                <c:formatCode>0.0</c:formatCode>
                <c:ptCount val="16"/>
                <c:pt idx="0">
                  <c:v>3.8485033598045337</c:v>
                </c:pt>
                <c:pt idx="1">
                  <c:v>2.8100183262064871</c:v>
                </c:pt>
                <c:pt idx="2">
                  <c:v>1.7715332926084404</c:v>
                </c:pt>
                <c:pt idx="3">
                  <c:v>0.79413561392791543</c:v>
                </c:pt>
                <c:pt idx="4">
                  <c:v>-0.18326206475258733</c:v>
                </c:pt>
                <c:pt idx="5">
                  <c:v>-1.0384850335980356</c:v>
                </c:pt>
                <c:pt idx="6">
                  <c:v>-1.6493585827733637</c:v>
                </c:pt>
                <c:pt idx="7">
                  <c:v>-2.2602321319486807</c:v>
                </c:pt>
                <c:pt idx="8">
                  <c:v>-2.6267562614538664</c:v>
                </c:pt>
                <c:pt idx="9">
                  <c:v>-1.3439218081856996</c:v>
                </c:pt>
                <c:pt idx="10">
                  <c:v>0</c:v>
                </c:pt>
                <c:pt idx="11">
                  <c:v>0.54978619425778419</c:v>
                </c:pt>
                <c:pt idx="12">
                  <c:v>1.3439218081857218</c:v>
                </c:pt>
                <c:pt idx="13">
                  <c:v>2.199144777031159</c:v>
                </c:pt>
                <c:pt idx="14">
                  <c:v>2.8405620036652479</c:v>
                </c:pt>
                <c:pt idx="15">
                  <c:v>3.5430665852168586</c:v>
                </c:pt>
              </c:numCache>
            </c:numRef>
          </c:yVal>
          <c:smooth val="1"/>
        </c:ser>
        <c:ser>
          <c:idx val="1"/>
          <c:order val="1"/>
          <c:tx>
            <c:v>MAN Diesel 6S80ME-C8.2</c:v>
          </c:tx>
          <c:spPr>
            <a:ln w="25400">
              <a:solidFill>
                <a:srgbClr val="FF0000"/>
              </a:solidFill>
              <a:prstDash val="solid"/>
            </a:ln>
          </c:spPr>
          <c:marker>
            <c:symbol val="none"/>
          </c:marker>
          <c:xVal>
            <c:numRef>
              <c:f>'Low load SFOC'!$A$4:$A$19</c:f>
              <c:numCache>
                <c:formatCode>General</c:formatCode>
                <c:ptCount val="16"/>
                <c:pt idx="0">
                  <c:v>25</c:v>
                </c:pt>
                <c:pt idx="1">
                  <c:v>30</c:v>
                </c:pt>
                <c:pt idx="2">
                  <c:v>35</c:v>
                </c:pt>
                <c:pt idx="3">
                  <c:v>40</c:v>
                </c:pt>
                <c:pt idx="4">
                  <c:v>45</c:v>
                </c:pt>
                <c:pt idx="5">
                  <c:v>50</c:v>
                </c:pt>
                <c:pt idx="6">
                  <c:v>55</c:v>
                </c:pt>
                <c:pt idx="7">
                  <c:v>60</c:v>
                </c:pt>
                <c:pt idx="8">
                  <c:v>65</c:v>
                </c:pt>
                <c:pt idx="9">
                  <c:v>70</c:v>
                </c:pt>
                <c:pt idx="10">
                  <c:v>75</c:v>
                </c:pt>
                <c:pt idx="11">
                  <c:v>80</c:v>
                </c:pt>
                <c:pt idx="12">
                  <c:v>85</c:v>
                </c:pt>
                <c:pt idx="13">
                  <c:v>90</c:v>
                </c:pt>
                <c:pt idx="14">
                  <c:v>95</c:v>
                </c:pt>
                <c:pt idx="15">
                  <c:v>100</c:v>
                </c:pt>
              </c:numCache>
            </c:numRef>
          </c:xVal>
          <c:yVal>
            <c:numRef>
              <c:f>'Low load SFOC'!$E$4:$E$19</c:f>
              <c:numCache>
                <c:formatCode>0.00</c:formatCode>
                <c:ptCount val="16"/>
                <c:pt idx="0">
                  <c:v>6.6422912858013383</c:v>
                </c:pt>
                <c:pt idx="1">
                  <c:v>5.4235222425350393</c:v>
                </c:pt>
                <c:pt idx="2">
                  <c:v>4.387568555758703</c:v>
                </c:pt>
                <c:pt idx="3">
                  <c:v>3.4734917733089787</c:v>
                </c:pt>
                <c:pt idx="4">
                  <c:v>2.498476538695904</c:v>
                </c:pt>
                <c:pt idx="5">
                  <c:v>1.7672151127361424</c:v>
                </c:pt>
                <c:pt idx="6">
                  <c:v>1.0359536867763586</c:v>
                </c:pt>
                <c:pt idx="7">
                  <c:v>0.42656916514320908</c:v>
                </c:pt>
                <c:pt idx="8">
                  <c:v>6.0938452163306067E-2</c:v>
                </c:pt>
                <c:pt idx="9">
                  <c:v>-6.0938452163306067E-2</c:v>
                </c:pt>
                <c:pt idx="10">
                  <c:v>0</c:v>
                </c:pt>
                <c:pt idx="11">
                  <c:v>0.12187690432663434</c:v>
                </c:pt>
                <c:pt idx="12">
                  <c:v>0.54844606946984342</c:v>
                </c:pt>
                <c:pt idx="13">
                  <c:v>1.0359536867763586</c:v>
                </c:pt>
                <c:pt idx="14">
                  <c:v>1.6453382084095081</c:v>
                </c:pt>
                <c:pt idx="15">
                  <c:v>2.3765996343692919</c:v>
                </c:pt>
              </c:numCache>
            </c:numRef>
          </c:yVal>
          <c:smooth val="1"/>
        </c:ser>
        <c:ser>
          <c:idx val="2"/>
          <c:order val="2"/>
          <c:tx>
            <c:v>MAN Diesel 6S80MC-C8.2 - EGB low load tuning</c:v>
          </c:tx>
          <c:spPr>
            <a:ln w="25400">
              <a:solidFill>
                <a:srgbClr val="00CCFF"/>
              </a:solidFill>
              <a:prstDash val="solid"/>
            </a:ln>
          </c:spPr>
          <c:marker>
            <c:symbol val="none"/>
          </c:marker>
          <c:xVal>
            <c:numRef>
              <c:f>'Low load SFOC'!$A$4:$A$19</c:f>
              <c:numCache>
                <c:formatCode>General</c:formatCode>
                <c:ptCount val="16"/>
                <c:pt idx="0">
                  <c:v>25</c:v>
                </c:pt>
                <c:pt idx="1">
                  <c:v>30</c:v>
                </c:pt>
                <c:pt idx="2">
                  <c:v>35</c:v>
                </c:pt>
                <c:pt idx="3">
                  <c:v>40</c:v>
                </c:pt>
                <c:pt idx="4">
                  <c:v>45</c:v>
                </c:pt>
                <c:pt idx="5">
                  <c:v>50</c:v>
                </c:pt>
                <c:pt idx="6">
                  <c:v>55</c:v>
                </c:pt>
                <c:pt idx="7">
                  <c:v>60</c:v>
                </c:pt>
                <c:pt idx="8">
                  <c:v>65</c:v>
                </c:pt>
                <c:pt idx="9">
                  <c:v>70</c:v>
                </c:pt>
                <c:pt idx="10">
                  <c:v>75</c:v>
                </c:pt>
                <c:pt idx="11">
                  <c:v>80</c:v>
                </c:pt>
                <c:pt idx="12">
                  <c:v>85</c:v>
                </c:pt>
                <c:pt idx="13">
                  <c:v>90</c:v>
                </c:pt>
                <c:pt idx="14">
                  <c:v>95</c:v>
                </c:pt>
                <c:pt idx="15">
                  <c:v>100</c:v>
                </c:pt>
              </c:numCache>
            </c:numRef>
          </c:xVal>
          <c:yVal>
            <c:numRef>
              <c:f>'Low load SFOC'!$G$4:$G$19</c:f>
              <c:numCache>
                <c:formatCode>0.0</c:formatCode>
                <c:ptCount val="16"/>
                <c:pt idx="0">
                  <c:v>5.0119331742243478</c:v>
                </c:pt>
                <c:pt idx="1">
                  <c:v>3.8782816229117056</c:v>
                </c:pt>
                <c:pt idx="2">
                  <c:v>2.7446300715990413</c:v>
                </c:pt>
                <c:pt idx="3">
                  <c:v>1.7303102625298328</c:v>
                </c:pt>
                <c:pt idx="4">
                  <c:v>0.89498806682577481</c:v>
                </c:pt>
                <c:pt idx="5">
                  <c:v>0.23866348448686736</c:v>
                </c:pt>
                <c:pt idx="6">
                  <c:v>-0.35799522673031214</c:v>
                </c:pt>
                <c:pt idx="7">
                  <c:v>-0.77565632458233003</c:v>
                </c:pt>
                <c:pt idx="8">
                  <c:v>-1.0739856801909253</c:v>
                </c:pt>
                <c:pt idx="9">
                  <c:v>-0.5966587112171795</c:v>
                </c:pt>
                <c:pt idx="10">
                  <c:v>0</c:v>
                </c:pt>
                <c:pt idx="11">
                  <c:v>0.2983293556085842</c:v>
                </c:pt>
                <c:pt idx="12">
                  <c:v>0.95465393794749165</c:v>
                </c:pt>
                <c:pt idx="13">
                  <c:v>2.0286396181384392</c:v>
                </c:pt>
                <c:pt idx="14">
                  <c:v>2.5656324582338907</c:v>
                </c:pt>
                <c:pt idx="15">
                  <c:v>3.2219570405727982</c:v>
                </c:pt>
              </c:numCache>
            </c:numRef>
          </c:yVal>
          <c:smooth val="1"/>
        </c:ser>
        <c:ser>
          <c:idx val="3"/>
          <c:order val="3"/>
          <c:tx>
            <c:v>MAN Diesel 6S80MC-C8.2</c:v>
          </c:tx>
          <c:spPr>
            <a:ln w="25400">
              <a:solidFill>
                <a:srgbClr val="0000FF"/>
              </a:solidFill>
              <a:prstDash val="solid"/>
            </a:ln>
          </c:spPr>
          <c:marker>
            <c:symbol val="none"/>
          </c:marker>
          <c:xVal>
            <c:numRef>
              <c:f>'Low load SFOC'!$A$4:$A$19</c:f>
              <c:numCache>
                <c:formatCode>General</c:formatCode>
                <c:ptCount val="16"/>
                <c:pt idx="0">
                  <c:v>25</c:v>
                </c:pt>
                <c:pt idx="1">
                  <c:v>30</c:v>
                </c:pt>
                <c:pt idx="2">
                  <c:v>35</c:v>
                </c:pt>
                <c:pt idx="3">
                  <c:v>40</c:v>
                </c:pt>
                <c:pt idx="4">
                  <c:v>45</c:v>
                </c:pt>
                <c:pt idx="5">
                  <c:v>50</c:v>
                </c:pt>
                <c:pt idx="6">
                  <c:v>55</c:v>
                </c:pt>
                <c:pt idx="7">
                  <c:v>60</c:v>
                </c:pt>
                <c:pt idx="8">
                  <c:v>65</c:v>
                </c:pt>
                <c:pt idx="9">
                  <c:v>70</c:v>
                </c:pt>
                <c:pt idx="10">
                  <c:v>75</c:v>
                </c:pt>
                <c:pt idx="11">
                  <c:v>80</c:v>
                </c:pt>
                <c:pt idx="12">
                  <c:v>85</c:v>
                </c:pt>
                <c:pt idx="13">
                  <c:v>90</c:v>
                </c:pt>
                <c:pt idx="14">
                  <c:v>95</c:v>
                </c:pt>
                <c:pt idx="15">
                  <c:v>100</c:v>
                </c:pt>
              </c:numCache>
            </c:numRef>
          </c:xVal>
          <c:yVal>
            <c:numRef>
              <c:f>'Low load SFOC'!$I$4:$I$19</c:f>
              <c:numCache>
                <c:formatCode>0.0</c:formatCode>
                <c:ptCount val="16"/>
                <c:pt idx="0">
                  <c:v>6.4842355740630575</c:v>
                </c:pt>
                <c:pt idx="1">
                  <c:v>5.2944675788221263</c:v>
                </c:pt>
                <c:pt idx="2">
                  <c:v>4.1641879833432371</c:v>
                </c:pt>
                <c:pt idx="3">
                  <c:v>3.1528851873884767</c:v>
                </c:pt>
                <c:pt idx="4">
                  <c:v>2.4390243902439046</c:v>
                </c:pt>
                <c:pt idx="5">
                  <c:v>1.7251635930993547</c:v>
                </c:pt>
                <c:pt idx="6">
                  <c:v>1.1897679952409312</c:v>
                </c:pt>
                <c:pt idx="7">
                  <c:v>0.71386079714457207</c:v>
                </c:pt>
                <c:pt idx="8">
                  <c:v>0.35693039857227493</c:v>
                </c:pt>
                <c:pt idx="9">
                  <c:v>0.11897679952410645</c:v>
                </c:pt>
                <c:pt idx="10">
                  <c:v>0</c:v>
                </c:pt>
                <c:pt idx="11">
                  <c:v>-5.9488399762042121E-2</c:v>
                </c:pt>
                <c:pt idx="12">
                  <c:v>0.11897679952410645</c:v>
                </c:pt>
                <c:pt idx="13">
                  <c:v>0.41641879833433926</c:v>
                </c:pt>
                <c:pt idx="14">
                  <c:v>0.95181439619274055</c:v>
                </c:pt>
                <c:pt idx="15">
                  <c:v>1.7251635930993547</c:v>
                </c:pt>
              </c:numCache>
            </c:numRef>
          </c:yVal>
          <c:smooth val="1"/>
        </c:ser>
        <c:ser>
          <c:idx val="4"/>
          <c:order val="4"/>
          <c:tx>
            <c:v>MAN Diesel 6S80ME-C8.2 - VT Low load tuning</c:v>
          </c:tx>
          <c:spPr>
            <a:ln w="25400">
              <a:solidFill>
                <a:srgbClr val="996666"/>
              </a:solidFill>
              <a:prstDash val="solid"/>
            </a:ln>
          </c:spPr>
          <c:marker>
            <c:symbol val="none"/>
          </c:marker>
          <c:xVal>
            <c:numRef>
              <c:f>'Low load SFOC'!$A$4:$A$19</c:f>
              <c:numCache>
                <c:formatCode>General</c:formatCode>
                <c:ptCount val="16"/>
                <c:pt idx="0">
                  <c:v>25</c:v>
                </c:pt>
                <c:pt idx="1">
                  <c:v>30</c:v>
                </c:pt>
                <c:pt idx="2">
                  <c:v>35</c:v>
                </c:pt>
                <c:pt idx="3">
                  <c:v>40</c:v>
                </c:pt>
                <c:pt idx="4">
                  <c:v>45</c:v>
                </c:pt>
                <c:pt idx="5">
                  <c:v>50</c:v>
                </c:pt>
                <c:pt idx="6">
                  <c:v>55</c:v>
                </c:pt>
                <c:pt idx="7">
                  <c:v>60</c:v>
                </c:pt>
                <c:pt idx="8">
                  <c:v>65</c:v>
                </c:pt>
                <c:pt idx="9">
                  <c:v>70</c:v>
                </c:pt>
                <c:pt idx="10">
                  <c:v>75</c:v>
                </c:pt>
                <c:pt idx="11">
                  <c:v>80</c:v>
                </c:pt>
                <c:pt idx="12">
                  <c:v>85</c:v>
                </c:pt>
                <c:pt idx="13">
                  <c:v>90</c:v>
                </c:pt>
                <c:pt idx="14">
                  <c:v>95</c:v>
                </c:pt>
                <c:pt idx="15">
                  <c:v>100</c:v>
                </c:pt>
              </c:numCache>
            </c:numRef>
          </c:xVal>
          <c:yVal>
            <c:numRef>
              <c:f>'Low load SFOC'!$K$4:$K$19</c:f>
              <c:numCache>
                <c:formatCode>0.00</c:formatCode>
                <c:ptCount val="16"/>
                <c:pt idx="0">
                  <c:v>3.7874160048869898</c:v>
                </c:pt>
                <c:pt idx="1">
                  <c:v>2.6267562614538775</c:v>
                </c:pt>
                <c:pt idx="2">
                  <c:v>1.5271838729383092</c:v>
                </c:pt>
                <c:pt idx="3">
                  <c:v>0.67196090409287201</c:v>
                </c:pt>
                <c:pt idx="4">
                  <c:v>-0.30543677458766405</c:v>
                </c:pt>
                <c:pt idx="5">
                  <c:v>-1.0384850335980356</c:v>
                </c:pt>
                <c:pt idx="6">
                  <c:v>-1.7715332926084182</c:v>
                </c:pt>
                <c:pt idx="7">
                  <c:v>-2.3213194868662135</c:v>
                </c:pt>
                <c:pt idx="8">
                  <c:v>-2.7183872938301712</c:v>
                </c:pt>
                <c:pt idx="9">
                  <c:v>-1.4660965180207541</c:v>
                </c:pt>
                <c:pt idx="10">
                  <c:v>0</c:v>
                </c:pt>
                <c:pt idx="11">
                  <c:v>0.36652412950519686</c:v>
                </c:pt>
                <c:pt idx="12">
                  <c:v>0.97739767868052496</c:v>
                </c:pt>
                <c:pt idx="13">
                  <c:v>1.5882712278558531</c:v>
                </c:pt>
                <c:pt idx="14">
                  <c:v>2.199144777031159</c:v>
                </c:pt>
                <c:pt idx="15">
                  <c:v>2.8711056811240088</c:v>
                </c:pt>
              </c:numCache>
            </c:numRef>
          </c:yVal>
          <c:smooth val="1"/>
        </c:ser>
        <c:ser>
          <c:idx val="5"/>
          <c:order val="5"/>
          <c:tx>
            <c:v>MAN Diesel 6S80ME-C8.2 - ECT low load tuning</c:v>
          </c:tx>
          <c:spPr>
            <a:ln w="25400">
              <a:solidFill>
                <a:srgbClr val="000000"/>
              </a:solidFill>
              <a:prstDash val="solid"/>
            </a:ln>
          </c:spPr>
          <c:marker>
            <c:symbol val="none"/>
          </c:marker>
          <c:xVal>
            <c:numRef>
              <c:f>'Low load SFOC'!$A$4:$A$19</c:f>
              <c:numCache>
                <c:formatCode>General</c:formatCode>
                <c:ptCount val="16"/>
                <c:pt idx="0">
                  <c:v>25</c:v>
                </c:pt>
                <c:pt idx="1">
                  <c:v>30</c:v>
                </c:pt>
                <c:pt idx="2">
                  <c:v>35</c:v>
                </c:pt>
                <c:pt idx="3">
                  <c:v>40</c:v>
                </c:pt>
                <c:pt idx="4">
                  <c:v>45</c:v>
                </c:pt>
                <c:pt idx="5">
                  <c:v>50</c:v>
                </c:pt>
                <c:pt idx="6">
                  <c:v>55</c:v>
                </c:pt>
                <c:pt idx="7">
                  <c:v>60</c:v>
                </c:pt>
                <c:pt idx="8">
                  <c:v>65</c:v>
                </c:pt>
                <c:pt idx="9">
                  <c:v>70</c:v>
                </c:pt>
                <c:pt idx="10">
                  <c:v>75</c:v>
                </c:pt>
                <c:pt idx="11">
                  <c:v>80</c:v>
                </c:pt>
                <c:pt idx="12">
                  <c:v>85</c:v>
                </c:pt>
                <c:pt idx="13">
                  <c:v>90</c:v>
                </c:pt>
                <c:pt idx="14">
                  <c:v>95</c:v>
                </c:pt>
                <c:pt idx="15">
                  <c:v>100</c:v>
                </c:pt>
              </c:numCache>
            </c:numRef>
          </c:xVal>
          <c:yVal>
            <c:numRef>
              <c:f>'Low load SFOC'!$M$4:$M$19</c:f>
              <c:numCache>
                <c:formatCode>0.00</c:formatCode>
                <c:ptCount val="16"/>
                <c:pt idx="0">
                  <c:v>5.378973105134488</c:v>
                </c:pt>
                <c:pt idx="1">
                  <c:v>4.2176039119804498</c:v>
                </c:pt>
                <c:pt idx="2">
                  <c:v>3.1784841075794823</c:v>
                </c:pt>
                <c:pt idx="3">
                  <c:v>2.1393643031784926</c:v>
                </c:pt>
                <c:pt idx="4">
                  <c:v>1.2836185819070867</c:v>
                </c:pt>
                <c:pt idx="5">
                  <c:v>0.42787286063570296</c:v>
                </c:pt>
                <c:pt idx="6">
                  <c:v>-0.24449877750611915</c:v>
                </c:pt>
                <c:pt idx="7">
                  <c:v>-0.79462102689485947</c:v>
                </c:pt>
                <c:pt idx="8">
                  <c:v>-1.0391198044009675</c:v>
                </c:pt>
                <c:pt idx="9">
                  <c:v>-0.73349633251833524</c:v>
                </c:pt>
                <c:pt idx="10">
                  <c:v>0</c:v>
                </c:pt>
                <c:pt idx="11">
                  <c:v>0.48899755501223829</c:v>
                </c:pt>
                <c:pt idx="12">
                  <c:v>1.344743276283622</c:v>
                </c:pt>
                <c:pt idx="13">
                  <c:v>2.2004889975550057</c:v>
                </c:pt>
                <c:pt idx="14">
                  <c:v>2.8728606356968278</c:v>
                </c:pt>
                <c:pt idx="15">
                  <c:v>3.4841075794621146</c:v>
                </c:pt>
              </c:numCache>
            </c:numRef>
          </c:yVal>
          <c:smooth val="1"/>
        </c:ser>
        <c:dLbls>
          <c:showLegendKey val="0"/>
          <c:showVal val="0"/>
          <c:showCatName val="0"/>
          <c:showSerName val="0"/>
          <c:showPercent val="0"/>
          <c:showBubbleSize val="0"/>
        </c:dLbls>
        <c:axId val="224731904"/>
        <c:axId val="224733440"/>
      </c:scatterChart>
      <c:valAx>
        <c:axId val="224731904"/>
        <c:scaling>
          <c:orientation val="minMax"/>
          <c:max val="100"/>
          <c:min val="20"/>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a-DK"/>
          </a:p>
        </c:txPr>
        <c:crossAx val="224733440"/>
        <c:crosses val="autoZero"/>
        <c:crossBetween val="midCat"/>
        <c:majorUnit val="10"/>
      </c:valAx>
      <c:valAx>
        <c:axId val="22473344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a-DK"/>
          </a:p>
        </c:txPr>
        <c:crossAx val="224731904"/>
        <c:crosses val="autoZero"/>
        <c:crossBetween val="midCat"/>
      </c:valAx>
      <c:spPr>
        <a:solidFill>
          <a:srgbClr val="FFFFFF"/>
        </a:solidFill>
        <a:ln w="3175">
          <a:solidFill>
            <a:srgbClr val="000000"/>
          </a:solidFill>
          <a:prstDash val="solid"/>
        </a:ln>
      </c:spPr>
    </c:plotArea>
    <c:legend>
      <c:legendPos val="r"/>
      <c:layout>
        <c:manualLayout>
          <c:xMode val="edge"/>
          <c:yMode val="edge"/>
          <c:x val="0.25271318427301892"/>
          <c:y val="7.1120689655172417E-2"/>
          <c:w val="0.69457365984240782"/>
          <c:h val="0.27801724137931033"/>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da-DK"/>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da-DK"/>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045219819717503E-2"/>
          <c:y val="4.3062318329871098E-2"/>
          <c:w val="0.87570641600330668"/>
          <c:h val="0.85805656523965368"/>
        </c:manualLayout>
      </c:layout>
      <c:scatterChart>
        <c:scatterStyle val="lineMarker"/>
        <c:varyColors val="0"/>
        <c:ser>
          <c:idx val="0"/>
          <c:order val="0"/>
          <c:tx>
            <c:v>MAN Diesel low load tuning two stroke engines</c:v>
          </c:tx>
          <c:spPr>
            <a:ln w="28575">
              <a:noFill/>
            </a:ln>
          </c:spPr>
          <c:marker>
            <c:symbol val="circle"/>
            <c:size val="5"/>
            <c:spPr>
              <a:solidFill>
                <a:srgbClr val="FF0000"/>
              </a:solidFill>
              <a:ln>
                <a:solidFill>
                  <a:srgbClr val="000000"/>
                </a:solidFill>
                <a:prstDash val="solid"/>
              </a:ln>
            </c:spPr>
          </c:marker>
          <c:trendline>
            <c:spPr>
              <a:ln w="25400">
                <a:solidFill>
                  <a:srgbClr val="000000"/>
                </a:solidFill>
                <a:prstDash val="solid"/>
              </a:ln>
            </c:spPr>
            <c:trendlineType val="poly"/>
            <c:order val="6"/>
            <c:dispRSqr val="0"/>
            <c:dispEq val="1"/>
            <c:trendlineLbl>
              <c:layout>
                <c:manualLayout>
                  <c:x val="-0.12605571722683018"/>
                  <c:y val="1.7192645251544014E-2"/>
                </c:manualLayout>
              </c:layout>
              <c:tx>
                <c:rich>
                  <a:bodyPr/>
                  <a:lstStyle/>
                  <a:p>
                    <a:pPr>
                      <a:defRPr sz="1200" b="0" i="0" u="none" strike="noStrike" baseline="0">
                        <a:solidFill>
                          <a:srgbClr val="000000"/>
                        </a:solidFill>
                        <a:latin typeface="Arial"/>
                        <a:ea typeface="Arial"/>
                        <a:cs typeface="Arial"/>
                      </a:defRPr>
                    </a:pPr>
                    <a:r>
                      <a:rPr lang="da-DK" sz="1200" b="0" i="0" u="none" strike="noStrike" baseline="0">
                        <a:solidFill>
                          <a:srgbClr val="000000"/>
                        </a:solidFill>
                        <a:latin typeface="Arial"/>
                        <a:cs typeface="Arial"/>
                      </a:rPr>
                      <a:t>y = 2.019396E-09x</a:t>
                    </a:r>
                    <a:r>
                      <a:rPr lang="da-DK" sz="1200" b="0" i="0" u="none" strike="noStrike" baseline="30000">
                        <a:solidFill>
                          <a:srgbClr val="000000"/>
                        </a:solidFill>
                        <a:latin typeface="Arial"/>
                        <a:cs typeface="Arial"/>
                      </a:rPr>
                      <a:t>6</a:t>
                    </a:r>
                    <a:r>
                      <a:rPr lang="da-DK" sz="1200" b="0" i="0" u="none" strike="noStrike" baseline="0">
                        <a:solidFill>
                          <a:srgbClr val="000000"/>
                        </a:solidFill>
                        <a:latin typeface="Arial"/>
                        <a:cs typeface="Arial"/>
                      </a:rPr>
                      <a:t> - 7.55499E-07x</a:t>
                    </a:r>
                    <a:r>
                      <a:rPr lang="da-DK" sz="1200" b="0" i="0" u="none" strike="noStrike" baseline="30000">
                        <a:solidFill>
                          <a:srgbClr val="000000"/>
                        </a:solidFill>
                        <a:latin typeface="Arial"/>
                        <a:cs typeface="Arial"/>
                      </a:rPr>
                      <a:t>5</a:t>
                    </a:r>
                    <a:r>
                      <a:rPr lang="da-DK" sz="1200" b="0" i="0" u="none" strike="noStrike" baseline="0">
                        <a:solidFill>
                          <a:srgbClr val="000000"/>
                        </a:solidFill>
                        <a:latin typeface="Arial"/>
                        <a:cs typeface="Arial"/>
                      </a:rPr>
                      <a:t> + 1.1181E-04x</a:t>
                    </a:r>
                    <a:r>
                      <a:rPr lang="da-DK" sz="1200" b="0" i="0" u="none" strike="noStrike" baseline="30000">
                        <a:solidFill>
                          <a:srgbClr val="000000"/>
                        </a:solidFill>
                        <a:latin typeface="Arial"/>
                        <a:cs typeface="Arial"/>
                      </a:rPr>
                      <a:t>4</a:t>
                    </a:r>
                    <a:r>
                      <a:rPr lang="da-DK" sz="1200" b="0" i="0" u="none" strike="noStrike" baseline="0">
                        <a:solidFill>
                          <a:srgbClr val="000000"/>
                        </a:solidFill>
                        <a:latin typeface="Arial"/>
                        <a:cs typeface="Arial"/>
                      </a:rPr>
                      <a:t> </a:t>
                    </a:r>
                  </a:p>
                  <a:p>
                    <a:pPr>
                      <a:defRPr sz="1200" b="0" i="0" u="none" strike="noStrike" baseline="0">
                        <a:solidFill>
                          <a:srgbClr val="000000"/>
                        </a:solidFill>
                        <a:latin typeface="Arial"/>
                        <a:ea typeface="Arial"/>
                        <a:cs typeface="Arial"/>
                      </a:defRPr>
                    </a:pPr>
                    <a:r>
                      <a:rPr lang="da-DK" sz="1200" b="0" i="0" u="none" strike="noStrike" baseline="0">
                        <a:solidFill>
                          <a:srgbClr val="000000"/>
                        </a:solidFill>
                        <a:latin typeface="Arial"/>
                        <a:cs typeface="Arial"/>
                      </a:rPr>
                      <a:t>- 0.00832x</a:t>
                    </a:r>
                    <a:r>
                      <a:rPr lang="da-DK" sz="1200" b="0" i="0" u="none" strike="noStrike" baseline="30000">
                        <a:solidFill>
                          <a:srgbClr val="000000"/>
                        </a:solidFill>
                        <a:latin typeface="Arial"/>
                        <a:cs typeface="Arial"/>
                      </a:rPr>
                      <a:t>3</a:t>
                    </a:r>
                    <a:r>
                      <a:rPr lang="da-DK" sz="1200" b="0" i="0" u="none" strike="noStrike" baseline="0">
                        <a:solidFill>
                          <a:srgbClr val="000000"/>
                        </a:solidFill>
                        <a:latin typeface="Arial"/>
                        <a:cs typeface="Arial"/>
                      </a:rPr>
                      <a:t> + 0.33x</a:t>
                    </a:r>
                    <a:r>
                      <a:rPr lang="da-DK" sz="1200" b="0" i="0" u="none" strike="noStrike" baseline="30000">
                        <a:solidFill>
                          <a:srgbClr val="000000"/>
                        </a:solidFill>
                        <a:latin typeface="Arial"/>
                        <a:cs typeface="Arial"/>
                      </a:rPr>
                      <a:t>2</a:t>
                    </a:r>
                    <a:r>
                      <a:rPr lang="da-DK" sz="1200" b="0" i="0" u="none" strike="noStrike" baseline="0">
                        <a:solidFill>
                          <a:srgbClr val="000000"/>
                        </a:solidFill>
                        <a:latin typeface="Arial"/>
                        <a:cs typeface="Arial"/>
                      </a:rPr>
                      <a:t> - 6.85x + 62.9</a:t>
                    </a:r>
                  </a:p>
                </c:rich>
              </c:tx>
              <c:numFmt formatCode="General" sourceLinked="0"/>
              <c:spPr>
                <a:solidFill>
                  <a:srgbClr val="FFFFFF"/>
                </a:solidFill>
                <a:ln w="3175">
                  <a:solidFill>
                    <a:srgbClr val="000000"/>
                  </a:solidFill>
                  <a:prstDash val="solid"/>
                </a:ln>
              </c:spPr>
            </c:trendlineLbl>
          </c:trendline>
          <c:xVal>
            <c:numRef>
              <c:f>'Low load SFOC'!$A$4:$A$67</c:f>
              <c:numCache>
                <c:formatCode>General</c:formatCode>
                <c:ptCount val="64"/>
                <c:pt idx="0">
                  <c:v>25</c:v>
                </c:pt>
                <c:pt idx="1">
                  <c:v>30</c:v>
                </c:pt>
                <c:pt idx="2">
                  <c:v>35</c:v>
                </c:pt>
                <c:pt idx="3">
                  <c:v>40</c:v>
                </c:pt>
                <c:pt idx="4">
                  <c:v>45</c:v>
                </c:pt>
                <c:pt idx="5">
                  <c:v>50</c:v>
                </c:pt>
                <c:pt idx="6">
                  <c:v>55</c:v>
                </c:pt>
                <c:pt idx="7">
                  <c:v>60</c:v>
                </c:pt>
                <c:pt idx="8">
                  <c:v>65</c:v>
                </c:pt>
                <c:pt idx="9">
                  <c:v>70</c:v>
                </c:pt>
                <c:pt idx="10">
                  <c:v>75</c:v>
                </c:pt>
                <c:pt idx="11">
                  <c:v>80</c:v>
                </c:pt>
                <c:pt idx="12">
                  <c:v>85</c:v>
                </c:pt>
                <c:pt idx="13">
                  <c:v>90</c:v>
                </c:pt>
                <c:pt idx="14">
                  <c:v>95</c:v>
                </c:pt>
                <c:pt idx="15">
                  <c:v>100</c:v>
                </c:pt>
                <c:pt idx="16">
                  <c:v>25</c:v>
                </c:pt>
                <c:pt idx="17">
                  <c:v>30</c:v>
                </c:pt>
                <c:pt idx="18">
                  <c:v>35</c:v>
                </c:pt>
                <c:pt idx="19">
                  <c:v>40</c:v>
                </c:pt>
                <c:pt idx="20">
                  <c:v>45</c:v>
                </c:pt>
                <c:pt idx="21">
                  <c:v>50</c:v>
                </c:pt>
                <c:pt idx="22">
                  <c:v>55</c:v>
                </c:pt>
                <c:pt idx="23">
                  <c:v>60</c:v>
                </c:pt>
                <c:pt idx="24">
                  <c:v>65</c:v>
                </c:pt>
                <c:pt idx="25">
                  <c:v>70</c:v>
                </c:pt>
                <c:pt idx="26">
                  <c:v>75</c:v>
                </c:pt>
                <c:pt idx="27">
                  <c:v>80</c:v>
                </c:pt>
                <c:pt idx="28">
                  <c:v>85</c:v>
                </c:pt>
                <c:pt idx="29">
                  <c:v>90</c:v>
                </c:pt>
                <c:pt idx="30">
                  <c:v>95</c:v>
                </c:pt>
                <c:pt idx="31">
                  <c:v>100</c:v>
                </c:pt>
                <c:pt idx="32">
                  <c:v>25</c:v>
                </c:pt>
                <c:pt idx="33">
                  <c:v>30</c:v>
                </c:pt>
                <c:pt idx="34">
                  <c:v>35</c:v>
                </c:pt>
                <c:pt idx="35">
                  <c:v>40</c:v>
                </c:pt>
                <c:pt idx="36">
                  <c:v>45</c:v>
                </c:pt>
                <c:pt idx="37">
                  <c:v>50</c:v>
                </c:pt>
                <c:pt idx="38">
                  <c:v>55</c:v>
                </c:pt>
                <c:pt idx="39">
                  <c:v>60</c:v>
                </c:pt>
                <c:pt idx="40">
                  <c:v>65</c:v>
                </c:pt>
                <c:pt idx="41">
                  <c:v>70</c:v>
                </c:pt>
                <c:pt idx="42">
                  <c:v>75</c:v>
                </c:pt>
                <c:pt idx="43">
                  <c:v>80</c:v>
                </c:pt>
                <c:pt idx="44">
                  <c:v>85</c:v>
                </c:pt>
                <c:pt idx="45">
                  <c:v>90</c:v>
                </c:pt>
                <c:pt idx="46">
                  <c:v>95</c:v>
                </c:pt>
                <c:pt idx="47">
                  <c:v>100</c:v>
                </c:pt>
                <c:pt idx="48">
                  <c:v>25</c:v>
                </c:pt>
                <c:pt idx="49">
                  <c:v>30</c:v>
                </c:pt>
                <c:pt idx="50">
                  <c:v>35</c:v>
                </c:pt>
                <c:pt idx="51">
                  <c:v>40</c:v>
                </c:pt>
                <c:pt idx="52">
                  <c:v>45</c:v>
                </c:pt>
                <c:pt idx="53">
                  <c:v>50</c:v>
                </c:pt>
                <c:pt idx="54">
                  <c:v>55</c:v>
                </c:pt>
                <c:pt idx="55">
                  <c:v>60</c:v>
                </c:pt>
                <c:pt idx="56">
                  <c:v>65</c:v>
                </c:pt>
                <c:pt idx="57">
                  <c:v>70</c:v>
                </c:pt>
                <c:pt idx="58">
                  <c:v>75</c:v>
                </c:pt>
                <c:pt idx="59">
                  <c:v>80</c:v>
                </c:pt>
                <c:pt idx="60">
                  <c:v>85</c:v>
                </c:pt>
                <c:pt idx="61">
                  <c:v>90</c:v>
                </c:pt>
                <c:pt idx="62">
                  <c:v>95</c:v>
                </c:pt>
                <c:pt idx="63">
                  <c:v>100</c:v>
                </c:pt>
              </c:numCache>
            </c:numRef>
          </c:xVal>
          <c:yVal>
            <c:numRef>
              <c:f>'Low load SFOC'!$C$4:$C$67</c:f>
              <c:numCache>
                <c:formatCode>0.0</c:formatCode>
                <c:ptCount val="64"/>
                <c:pt idx="0">
                  <c:v>3.8485033598045337</c:v>
                </c:pt>
                <c:pt idx="1">
                  <c:v>2.8100183262064871</c:v>
                </c:pt>
                <c:pt idx="2">
                  <c:v>1.7715332926084404</c:v>
                </c:pt>
                <c:pt idx="3">
                  <c:v>0.79413561392791543</c:v>
                </c:pt>
                <c:pt idx="4">
                  <c:v>-0.18326206475258733</c:v>
                </c:pt>
                <c:pt idx="5">
                  <c:v>-1.0384850335980356</c:v>
                </c:pt>
                <c:pt idx="6">
                  <c:v>-1.6493585827733637</c:v>
                </c:pt>
                <c:pt idx="7">
                  <c:v>-2.2602321319486807</c:v>
                </c:pt>
                <c:pt idx="8">
                  <c:v>-2.6267562614538664</c:v>
                </c:pt>
                <c:pt idx="9">
                  <c:v>-1.3439218081856996</c:v>
                </c:pt>
                <c:pt idx="10">
                  <c:v>0</c:v>
                </c:pt>
                <c:pt idx="11">
                  <c:v>0.54978619425778419</c:v>
                </c:pt>
                <c:pt idx="12">
                  <c:v>1.3439218081857218</c:v>
                </c:pt>
                <c:pt idx="13">
                  <c:v>2.199144777031159</c:v>
                </c:pt>
                <c:pt idx="14">
                  <c:v>2.8405620036652479</c:v>
                </c:pt>
                <c:pt idx="15">
                  <c:v>3.5430665852168586</c:v>
                </c:pt>
                <c:pt idx="16" formatCode="0.00">
                  <c:v>5.0119331742243478</c:v>
                </c:pt>
                <c:pt idx="17" formatCode="0.00">
                  <c:v>3.8782816229117056</c:v>
                </c:pt>
                <c:pt idx="18" formatCode="0.00">
                  <c:v>2.7446300715990413</c:v>
                </c:pt>
                <c:pt idx="19" formatCode="0.00">
                  <c:v>1.7303102625298328</c:v>
                </c:pt>
                <c:pt idx="20" formatCode="0.00">
                  <c:v>0.89498806682577481</c:v>
                </c:pt>
                <c:pt idx="21" formatCode="0.00">
                  <c:v>0.23866348448686736</c:v>
                </c:pt>
                <c:pt idx="22" formatCode="0.00">
                  <c:v>-0.35799522673031214</c:v>
                </c:pt>
                <c:pt idx="23" formatCode="0.00">
                  <c:v>-0.77565632458233003</c:v>
                </c:pt>
                <c:pt idx="24" formatCode="0.00">
                  <c:v>-1.0739856801909253</c:v>
                </c:pt>
                <c:pt idx="25" formatCode="0.00">
                  <c:v>-0.5966587112171795</c:v>
                </c:pt>
                <c:pt idx="26" formatCode="0.00">
                  <c:v>0</c:v>
                </c:pt>
                <c:pt idx="27" formatCode="0.00">
                  <c:v>0.2983293556085842</c:v>
                </c:pt>
                <c:pt idx="28" formatCode="0.00">
                  <c:v>0.95465393794749165</c:v>
                </c:pt>
                <c:pt idx="29" formatCode="0.00">
                  <c:v>2.0286396181384392</c:v>
                </c:pt>
                <c:pt idx="30" formatCode="0.00">
                  <c:v>2.5656324582338907</c:v>
                </c:pt>
                <c:pt idx="31" formatCode="0.00">
                  <c:v>3.2219570405727982</c:v>
                </c:pt>
                <c:pt idx="32" formatCode="0.00">
                  <c:v>3.7874160048869898</c:v>
                </c:pt>
                <c:pt idx="33" formatCode="0.00">
                  <c:v>2.6267562614538775</c:v>
                </c:pt>
                <c:pt idx="34" formatCode="0.00">
                  <c:v>1.5271838729383092</c:v>
                </c:pt>
                <c:pt idx="35" formatCode="0.00">
                  <c:v>0.67196090409287201</c:v>
                </c:pt>
                <c:pt idx="36" formatCode="0.00">
                  <c:v>-0.30543677458766405</c:v>
                </c:pt>
                <c:pt idx="37" formatCode="0.00">
                  <c:v>-1.0384850335980356</c:v>
                </c:pt>
                <c:pt idx="38" formatCode="0.00">
                  <c:v>-1.7715332926084182</c:v>
                </c:pt>
                <c:pt idx="39" formatCode="0.00">
                  <c:v>-2.3213194868662135</c:v>
                </c:pt>
                <c:pt idx="40" formatCode="0.00">
                  <c:v>-2.7183872938301712</c:v>
                </c:pt>
                <c:pt idx="41" formatCode="0.00">
                  <c:v>-1.4660965180207541</c:v>
                </c:pt>
                <c:pt idx="42" formatCode="0.00">
                  <c:v>0</c:v>
                </c:pt>
                <c:pt idx="43" formatCode="0.00">
                  <c:v>0.36652412950519686</c:v>
                </c:pt>
                <c:pt idx="44" formatCode="0.00">
                  <c:v>0.97739767868052496</c:v>
                </c:pt>
                <c:pt idx="45" formatCode="0.00">
                  <c:v>1.5882712278558531</c:v>
                </c:pt>
                <c:pt idx="46" formatCode="0.00">
                  <c:v>2.199144777031159</c:v>
                </c:pt>
                <c:pt idx="47" formatCode="0.00">
                  <c:v>2.8711056811240088</c:v>
                </c:pt>
                <c:pt idx="48" formatCode="0.00">
                  <c:v>5.378973105134488</c:v>
                </c:pt>
                <c:pt idx="49" formatCode="0.00">
                  <c:v>4.2176039119804498</c:v>
                </c:pt>
                <c:pt idx="50" formatCode="0.00">
                  <c:v>3.1784841075794823</c:v>
                </c:pt>
                <c:pt idx="51" formatCode="0.00">
                  <c:v>2.1393643031784926</c:v>
                </c:pt>
                <c:pt idx="52" formatCode="0.00">
                  <c:v>1.2836185819070867</c:v>
                </c:pt>
                <c:pt idx="53" formatCode="0.00">
                  <c:v>0.42787286063570296</c:v>
                </c:pt>
                <c:pt idx="54" formatCode="0.00">
                  <c:v>-0.24449877750611915</c:v>
                </c:pt>
                <c:pt idx="55" formatCode="0.00">
                  <c:v>-0.79462102689485947</c:v>
                </c:pt>
                <c:pt idx="56" formatCode="0.00">
                  <c:v>-1.0391198044009675</c:v>
                </c:pt>
                <c:pt idx="57" formatCode="0.00">
                  <c:v>-0.73349633251833524</c:v>
                </c:pt>
                <c:pt idx="58" formatCode="0.00">
                  <c:v>0</c:v>
                </c:pt>
                <c:pt idx="59" formatCode="0.00">
                  <c:v>0.48899755501223829</c:v>
                </c:pt>
                <c:pt idx="60" formatCode="0.00">
                  <c:v>1.344743276283622</c:v>
                </c:pt>
                <c:pt idx="61" formatCode="0.00">
                  <c:v>2.2004889975550057</c:v>
                </c:pt>
                <c:pt idx="62" formatCode="0.00">
                  <c:v>2.8728606356968278</c:v>
                </c:pt>
                <c:pt idx="63" formatCode="0.00">
                  <c:v>3.4841075794621146</c:v>
                </c:pt>
              </c:numCache>
            </c:numRef>
          </c:yVal>
          <c:smooth val="0"/>
        </c:ser>
        <c:ser>
          <c:idx val="1"/>
          <c:order val="1"/>
          <c:spPr>
            <a:ln w="38100">
              <a:solidFill>
                <a:srgbClr val="FF0000"/>
              </a:solidFill>
              <a:prstDash val="solid"/>
            </a:ln>
          </c:spPr>
          <c:marker>
            <c:symbol val="circle"/>
            <c:size val="8"/>
            <c:spPr>
              <a:solidFill>
                <a:srgbClr val="FFFF00"/>
              </a:solidFill>
              <a:ln>
                <a:solidFill>
                  <a:srgbClr val="000000"/>
                </a:solidFill>
                <a:prstDash val="solid"/>
              </a:ln>
            </c:spPr>
          </c:marker>
          <c:xVal>
            <c:numRef>
              <c:f>'Low load SFOC'!$A$52:$A$67</c:f>
              <c:numCache>
                <c:formatCode>General</c:formatCode>
                <c:ptCount val="16"/>
                <c:pt idx="0">
                  <c:v>25</c:v>
                </c:pt>
                <c:pt idx="1">
                  <c:v>30</c:v>
                </c:pt>
                <c:pt idx="2">
                  <c:v>35</c:v>
                </c:pt>
                <c:pt idx="3">
                  <c:v>40</c:v>
                </c:pt>
                <c:pt idx="4">
                  <c:v>45</c:v>
                </c:pt>
                <c:pt idx="5">
                  <c:v>50</c:v>
                </c:pt>
                <c:pt idx="6">
                  <c:v>55</c:v>
                </c:pt>
                <c:pt idx="7">
                  <c:v>60</c:v>
                </c:pt>
                <c:pt idx="8">
                  <c:v>65</c:v>
                </c:pt>
                <c:pt idx="9">
                  <c:v>70</c:v>
                </c:pt>
                <c:pt idx="10">
                  <c:v>75</c:v>
                </c:pt>
                <c:pt idx="11">
                  <c:v>80</c:v>
                </c:pt>
                <c:pt idx="12">
                  <c:v>85</c:v>
                </c:pt>
                <c:pt idx="13">
                  <c:v>90</c:v>
                </c:pt>
                <c:pt idx="14">
                  <c:v>95</c:v>
                </c:pt>
                <c:pt idx="15">
                  <c:v>100</c:v>
                </c:pt>
              </c:numCache>
            </c:numRef>
          </c:xVal>
          <c:yVal>
            <c:numRef>
              <c:f>'Low load SFOC'!$B$52:$B$67</c:f>
              <c:numCache>
                <c:formatCode>0.00</c:formatCode>
                <c:ptCount val="16"/>
                <c:pt idx="0">
                  <c:v>4.6658691406249986</c:v>
                </c:pt>
                <c:pt idx="1">
                  <c:v>3.4095926000000176</c:v>
                </c:pt>
                <c:pt idx="2">
                  <c:v>2.4617982906250333</c:v>
                </c:pt>
                <c:pt idx="3">
                  <c:v>1.52186240000011</c:v>
                </c:pt>
                <c:pt idx="4">
                  <c:v>0.54350711562502596</c:v>
                </c:pt>
                <c:pt idx="5">
                  <c:v>-0.37812499999999005</c:v>
                </c:pt>
                <c:pt idx="6">
                  <c:v>-1.09667838437489</c:v>
                </c:pt>
                <c:pt idx="7">
                  <c:v>-1.4820735999998433</c:v>
                </c:pt>
                <c:pt idx="8">
                  <c:v>-1.4652782093744818</c:v>
                </c:pt>
                <c:pt idx="9">
                  <c:v>-1.0603593999993919</c:v>
                </c:pt>
                <c:pt idx="10">
                  <c:v>-0.3638183593746831</c:v>
                </c:pt>
                <c:pt idx="11">
                  <c:v>0.46879360000072978</c:v>
                </c:pt>
                <c:pt idx="12">
                  <c:v>1.2689771656258912</c:v>
                </c:pt>
                <c:pt idx="13">
                  <c:v>1.924105399999938</c:v>
                </c:pt>
                <c:pt idx="14">
                  <c:v>2.4689623656255648</c:v>
                </c:pt>
                <c:pt idx="15">
                  <c:v>3.199999999999612</c:v>
                </c:pt>
              </c:numCache>
            </c:numRef>
          </c:yVal>
          <c:smooth val="0"/>
        </c:ser>
        <c:dLbls>
          <c:showLegendKey val="0"/>
          <c:showVal val="0"/>
          <c:showCatName val="0"/>
          <c:showSerName val="0"/>
          <c:showPercent val="0"/>
          <c:showBubbleSize val="0"/>
        </c:dLbls>
        <c:axId val="224766976"/>
        <c:axId val="224769536"/>
      </c:scatterChart>
      <c:valAx>
        <c:axId val="224766976"/>
        <c:scaling>
          <c:orientation val="minMax"/>
          <c:max val="100"/>
          <c:min val="20"/>
        </c:scaling>
        <c:delete val="0"/>
        <c:axPos val="b"/>
        <c:majorGridlines>
          <c:spPr>
            <a:ln w="3175">
              <a:solidFill>
                <a:srgbClr val="000000"/>
              </a:solidFill>
              <a:prstDash val="solid"/>
            </a:ln>
          </c:spPr>
        </c:majorGridlines>
        <c:title>
          <c:tx>
            <c:rich>
              <a:bodyPr/>
              <a:lstStyle/>
              <a:p>
                <a:pPr>
                  <a:defRPr sz="1150" b="1" i="0" u="none" strike="noStrike" baseline="0">
                    <a:solidFill>
                      <a:srgbClr val="000000"/>
                    </a:solidFill>
                    <a:latin typeface="Arial"/>
                    <a:ea typeface="Arial"/>
                    <a:cs typeface="Arial"/>
                  </a:defRPr>
                </a:pPr>
                <a:r>
                  <a:rPr lang="da-DK"/>
                  <a:t>MCR (pct.)</a:t>
                </a:r>
              </a:p>
            </c:rich>
          </c:tx>
          <c:layout>
            <c:manualLayout>
              <c:xMode val="edge"/>
              <c:yMode val="edge"/>
              <c:x val="0.47080994113024005"/>
              <c:y val="0.9266373293012287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da-DK"/>
          </a:p>
        </c:txPr>
        <c:crossAx val="224769536"/>
        <c:crosses val="autoZero"/>
        <c:crossBetween val="midCat"/>
        <c:majorUnit val="10"/>
      </c:valAx>
      <c:valAx>
        <c:axId val="224769536"/>
        <c:scaling>
          <c:orientation val="minMax"/>
          <c:min val="-3"/>
        </c:scaling>
        <c:delete val="0"/>
        <c:axPos val="l"/>
        <c:majorGridlines>
          <c:spPr>
            <a:ln w="3175">
              <a:solidFill>
                <a:srgbClr val="000000"/>
              </a:solidFill>
              <a:prstDash val="solid"/>
            </a:ln>
          </c:spPr>
        </c:majorGridlines>
        <c:title>
          <c:tx>
            <c:rich>
              <a:bodyPr/>
              <a:lstStyle/>
              <a:p>
                <a:pPr>
                  <a:defRPr sz="1150" b="1" i="0" u="none" strike="noStrike" baseline="0">
                    <a:solidFill>
                      <a:srgbClr val="000000"/>
                    </a:solidFill>
                    <a:latin typeface="Arial"/>
                    <a:ea typeface="Arial"/>
                    <a:cs typeface="Arial"/>
                  </a:defRPr>
                </a:pPr>
                <a:r>
                  <a:rPr lang="da-DK"/>
                  <a:t>Extra SFOC (pct.)</a:t>
                </a:r>
              </a:p>
            </c:rich>
          </c:tx>
          <c:layout>
            <c:manualLayout>
              <c:xMode val="edge"/>
              <c:yMode val="edge"/>
              <c:x val="7.5329566854990581E-3"/>
              <c:y val="0.3062207577313705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da-DK"/>
          </a:p>
        </c:txPr>
        <c:crossAx val="224766976"/>
        <c:crosses val="autoZero"/>
        <c:crossBetween val="midCat"/>
      </c:valAx>
      <c:spPr>
        <a:solidFill>
          <a:srgbClr val="FFFFFF"/>
        </a:solidFill>
        <a:ln w="3175">
          <a:solidFill>
            <a:srgbClr val="000000"/>
          </a:solidFill>
          <a:prstDash val="solid"/>
        </a:ln>
      </c:spPr>
    </c:plotArea>
    <c:legend>
      <c:legendPos val="r"/>
      <c:layout>
        <c:manualLayout>
          <c:xMode val="edge"/>
          <c:yMode val="edge"/>
          <c:wMode val="edge"/>
          <c:hMode val="edge"/>
          <c:x val="0.26779661016949152"/>
          <c:y val="8.3333571075354718E-2"/>
          <c:w val="0.95706229517920438"/>
          <c:h val="0.26087027844345545"/>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da-DK"/>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da-DK"/>
    </a:p>
  </c:txPr>
  <c:printSettings>
    <c:headerFooter alignWithMargins="0"/>
    <c:pageMargins b="1" l="0.75" r="0.7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643434081852741E-2"/>
          <c:y val="4.4444464538332132E-2"/>
          <c:w val="0.8927651394835131"/>
          <c:h val="0.88888929076664258"/>
        </c:manualLayout>
      </c:layout>
      <c:scatterChart>
        <c:scatterStyle val="smoothMarker"/>
        <c:varyColors val="0"/>
        <c:ser>
          <c:idx val="0"/>
          <c:order val="0"/>
          <c:tx>
            <c:v>MAN Diesel 6S80ME-C8.2</c:v>
          </c:tx>
          <c:spPr>
            <a:ln w="25400">
              <a:solidFill>
                <a:srgbClr val="0000FF"/>
              </a:solidFill>
              <a:prstDash val="solid"/>
            </a:ln>
          </c:spPr>
          <c:marker>
            <c:symbol val="none"/>
          </c:marker>
          <c:xVal>
            <c:numRef>
              <c:f>'Normal SFOC'!$B$3:$B$18</c:f>
              <c:numCache>
                <c:formatCode>General</c:formatCode>
                <c:ptCount val="16"/>
                <c:pt idx="0">
                  <c:v>25</c:v>
                </c:pt>
                <c:pt idx="1">
                  <c:v>30</c:v>
                </c:pt>
                <c:pt idx="2">
                  <c:v>35</c:v>
                </c:pt>
                <c:pt idx="3">
                  <c:v>40</c:v>
                </c:pt>
                <c:pt idx="4">
                  <c:v>45</c:v>
                </c:pt>
                <c:pt idx="5">
                  <c:v>50</c:v>
                </c:pt>
                <c:pt idx="6">
                  <c:v>55</c:v>
                </c:pt>
                <c:pt idx="7">
                  <c:v>60</c:v>
                </c:pt>
                <c:pt idx="8">
                  <c:v>65</c:v>
                </c:pt>
                <c:pt idx="9">
                  <c:v>70</c:v>
                </c:pt>
                <c:pt idx="10">
                  <c:v>75</c:v>
                </c:pt>
                <c:pt idx="11">
                  <c:v>80</c:v>
                </c:pt>
                <c:pt idx="12">
                  <c:v>85</c:v>
                </c:pt>
                <c:pt idx="13">
                  <c:v>90</c:v>
                </c:pt>
                <c:pt idx="14">
                  <c:v>95</c:v>
                </c:pt>
                <c:pt idx="15">
                  <c:v>100</c:v>
                </c:pt>
              </c:numCache>
            </c:numRef>
          </c:xVal>
          <c:yVal>
            <c:numRef>
              <c:f>'Normal SFOC'!$D$3:$D$18</c:f>
              <c:numCache>
                <c:formatCode>0.0</c:formatCode>
                <c:ptCount val="16"/>
                <c:pt idx="0">
                  <c:v>6.7073170731707377</c:v>
                </c:pt>
                <c:pt idx="1">
                  <c:v>5.4878048780487854</c:v>
                </c:pt>
                <c:pt idx="2">
                  <c:v>4.451219512195137</c:v>
                </c:pt>
                <c:pt idx="3">
                  <c:v>3.5365853658536617</c:v>
                </c:pt>
                <c:pt idx="4">
                  <c:v>2.5609756097560998</c:v>
                </c:pt>
                <c:pt idx="5">
                  <c:v>1.8292682926829285</c:v>
                </c:pt>
                <c:pt idx="6">
                  <c:v>1.0975609756097571</c:v>
                </c:pt>
                <c:pt idx="7">
                  <c:v>0.48780487804878092</c:v>
                </c:pt>
                <c:pt idx="8">
                  <c:v>0.12195121951219523</c:v>
                </c:pt>
                <c:pt idx="9">
                  <c:v>0</c:v>
                </c:pt>
                <c:pt idx="10">
                  <c:v>6.0975609756086513E-2</c:v>
                </c:pt>
                <c:pt idx="11">
                  <c:v>0.18292682926830395</c:v>
                </c:pt>
                <c:pt idx="12">
                  <c:v>0.60975609756097615</c:v>
                </c:pt>
                <c:pt idx="13">
                  <c:v>1.0975609756097571</c:v>
                </c:pt>
                <c:pt idx="14">
                  <c:v>1.7073170731707332</c:v>
                </c:pt>
                <c:pt idx="15">
                  <c:v>2.4390243902439046</c:v>
                </c:pt>
              </c:numCache>
            </c:numRef>
          </c:yVal>
          <c:smooth val="1"/>
        </c:ser>
        <c:ser>
          <c:idx val="1"/>
          <c:order val="1"/>
          <c:tx>
            <c:v>MAN Diesel 6S80MC-C8.2</c:v>
          </c:tx>
          <c:spPr>
            <a:ln w="25400">
              <a:solidFill>
                <a:srgbClr val="FF0000"/>
              </a:solidFill>
              <a:prstDash val="solid"/>
            </a:ln>
          </c:spPr>
          <c:marker>
            <c:symbol val="none"/>
          </c:marker>
          <c:xVal>
            <c:numRef>
              <c:f>'Normal SFOC'!$B$3:$B$18</c:f>
              <c:numCache>
                <c:formatCode>General</c:formatCode>
                <c:ptCount val="16"/>
                <c:pt idx="0">
                  <c:v>25</c:v>
                </c:pt>
                <c:pt idx="1">
                  <c:v>30</c:v>
                </c:pt>
                <c:pt idx="2">
                  <c:v>35</c:v>
                </c:pt>
                <c:pt idx="3">
                  <c:v>40</c:v>
                </c:pt>
                <c:pt idx="4">
                  <c:v>45</c:v>
                </c:pt>
                <c:pt idx="5">
                  <c:v>50</c:v>
                </c:pt>
                <c:pt idx="6">
                  <c:v>55</c:v>
                </c:pt>
                <c:pt idx="7">
                  <c:v>60</c:v>
                </c:pt>
                <c:pt idx="8">
                  <c:v>65</c:v>
                </c:pt>
                <c:pt idx="9">
                  <c:v>70</c:v>
                </c:pt>
                <c:pt idx="10">
                  <c:v>75</c:v>
                </c:pt>
                <c:pt idx="11">
                  <c:v>80</c:v>
                </c:pt>
                <c:pt idx="12">
                  <c:v>85</c:v>
                </c:pt>
                <c:pt idx="13">
                  <c:v>90</c:v>
                </c:pt>
                <c:pt idx="14">
                  <c:v>95</c:v>
                </c:pt>
                <c:pt idx="15">
                  <c:v>100</c:v>
                </c:pt>
              </c:numCache>
            </c:numRef>
          </c:xVal>
          <c:yVal>
            <c:numRef>
              <c:f>'Normal SFOC'!$F$3:$F$18</c:f>
              <c:numCache>
                <c:formatCode>0.0</c:formatCode>
                <c:ptCount val="16"/>
                <c:pt idx="0">
                  <c:v>6.5476190476190466</c:v>
                </c:pt>
                <c:pt idx="1">
                  <c:v>5.3571428571428603</c:v>
                </c:pt>
                <c:pt idx="2">
                  <c:v>4.2261904761904834</c:v>
                </c:pt>
                <c:pt idx="3">
                  <c:v>3.2142857142857251</c:v>
                </c:pt>
                <c:pt idx="4">
                  <c:v>2.4999999999999911</c:v>
                </c:pt>
                <c:pt idx="5">
                  <c:v>1.7857142857142794</c:v>
                </c:pt>
                <c:pt idx="6">
                  <c:v>1.2499999999999956</c:v>
                </c:pt>
                <c:pt idx="7">
                  <c:v>0.77380952380952106</c:v>
                </c:pt>
                <c:pt idx="8">
                  <c:v>0.41666666666666519</c:v>
                </c:pt>
                <c:pt idx="9">
                  <c:v>0.17857142857142794</c:v>
                </c:pt>
                <c:pt idx="10">
                  <c:v>5.9523809523809312E-2</c:v>
                </c:pt>
                <c:pt idx="11">
                  <c:v>0</c:v>
                </c:pt>
                <c:pt idx="12">
                  <c:v>0.17857142857142794</c:v>
                </c:pt>
                <c:pt idx="13">
                  <c:v>0.4761904761904745</c:v>
                </c:pt>
                <c:pt idx="14">
                  <c:v>1.0119047619047583</c:v>
                </c:pt>
                <c:pt idx="15">
                  <c:v>1.7857142857142794</c:v>
                </c:pt>
              </c:numCache>
            </c:numRef>
          </c:yVal>
          <c:smooth val="1"/>
        </c:ser>
        <c:dLbls>
          <c:showLegendKey val="0"/>
          <c:showVal val="0"/>
          <c:showCatName val="0"/>
          <c:showSerName val="0"/>
          <c:showPercent val="0"/>
          <c:showBubbleSize val="0"/>
        </c:dLbls>
        <c:axId val="287140480"/>
        <c:axId val="287150464"/>
      </c:scatterChart>
      <c:valAx>
        <c:axId val="287140480"/>
        <c:scaling>
          <c:orientation val="minMax"/>
          <c:max val="100"/>
          <c:min val="20"/>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a-DK"/>
          </a:p>
        </c:txPr>
        <c:crossAx val="287150464"/>
        <c:crosses val="autoZero"/>
        <c:crossBetween val="midCat"/>
        <c:majorUnit val="10"/>
      </c:valAx>
      <c:valAx>
        <c:axId val="28715046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a-DK"/>
          </a:p>
        </c:txPr>
        <c:crossAx val="287140480"/>
        <c:crosses val="autoZero"/>
        <c:crossBetween val="midCat"/>
      </c:valAx>
      <c:spPr>
        <a:solidFill>
          <a:srgbClr val="FFFFFF"/>
        </a:solidFill>
        <a:ln w="3175">
          <a:solidFill>
            <a:srgbClr val="000000"/>
          </a:solidFill>
          <a:prstDash val="solid"/>
        </a:ln>
      </c:spPr>
    </c:plotArea>
    <c:legend>
      <c:legendPos val="r"/>
      <c:layout>
        <c:manualLayout>
          <c:xMode val="edge"/>
          <c:yMode val="edge"/>
          <c:x val="0.48217055404238562"/>
          <c:y val="0.19569893115296499"/>
          <c:w val="0.42635659923362085"/>
          <c:h val="0.19139785574300974"/>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da-DK"/>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da-DK"/>
    </a:p>
  </c:txPr>
  <c:printSettings>
    <c:headerFooter alignWithMargins="0"/>
    <c:pageMargins b="1" l="0.75" r="0.75"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87489356703769"/>
          <c:y val="4.4140046843803078E-2"/>
          <c:w val="0.85976290172929037"/>
          <c:h val="0.79604291376927627"/>
        </c:manualLayout>
      </c:layout>
      <c:scatterChart>
        <c:scatterStyle val="lineMarker"/>
        <c:varyColors val="0"/>
        <c:ser>
          <c:idx val="0"/>
          <c:order val="0"/>
          <c:tx>
            <c:v>MAN Diesel standard two stroke engines</c:v>
          </c:tx>
          <c:spPr>
            <a:ln w="28575">
              <a:noFill/>
            </a:ln>
          </c:spPr>
          <c:marker>
            <c:symbol val="circle"/>
            <c:size val="5"/>
            <c:spPr>
              <a:solidFill>
                <a:srgbClr val="FF0000"/>
              </a:solidFill>
              <a:ln>
                <a:solidFill>
                  <a:srgbClr val="000000"/>
                </a:solidFill>
                <a:prstDash val="solid"/>
              </a:ln>
            </c:spPr>
          </c:marker>
          <c:trendline>
            <c:spPr>
              <a:ln w="25400">
                <a:solidFill>
                  <a:srgbClr val="000000"/>
                </a:solidFill>
                <a:prstDash val="solid"/>
              </a:ln>
            </c:spPr>
            <c:trendlineType val="poly"/>
            <c:order val="2"/>
            <c:dispRSqr val="1"/>
            <c:dispEq val="1"/>
            <c:trendlineLbl>
              <c:layout>
                <c:manualLayout>
                  <c:x val="-5.3453466945450501E-2"/>
                  <c:y val="-0.51480613074799675"/>
                </c:manualLayout>
              </c:layout>
              <c:tx>
                <c:rich>
                  <a:bodyPr/>
                  <a:lstStyle/>
                  <a:p>
                    <a:pPr>
                      <a:defRPr sz="1200" b="0" i="0" u="none" strike="noStrike" baseline="0">
                        <a:solidFill>
                          <a:srgbClr val="000000"/>
                        </a:solidFill>
                        <a:latin typeface="Arial"/>
                        <a:ea typeface="Arial"/>
                        <a:cs typeface="Arial"/>
                      </a:defRPr>
                    </a:pPr>
                    <a:r>
                      <a:rPr lang="da-DK" sz="1400" b="0" i="0" u="none" strike="noStrike" baseline="0">
                        <a:solidFill>
                          <a:srgbClr val="000000"/>
                        </a:solidFill>
                        <a:latin typeface="Arial"/>
                        <a:cs typeface="Arial"/>
                      </a:rPr>
                      <a:t>Extra SFOC (%) = 0.0028 x MCR</a:t>
                    </a:r>
                    <a:r>
                      <a:rPr lang="da-DK" sz="1400" b="0" i="0" u="none" strike="noStrike" baseline="30000">
                        <a:solidFill>
                          <a:srgbClr val="000000"/>
                        </a:solidFill>
                        <a:latin typeface="Arial"/>
                        <a:cs typeface="Arial"/>
                      </a:rPr>
                      <a:t>2</a:t>
                    </a:r>
                    <a:r>
                      <a:rPr lang="da-DK" sz="1400" b="0" i="0" u="none" strike="noStrike" baseline="0">
                        <a:solidFill>
                          <a:srgbClr val="000000"/>
                        </a:solidFill>
                        <a:latin typeface="Arial"/>
                        <a:cs typeface="Arial"/>
                      </a:rPr>
                      <a:t> - 0.41x MCR + 15</a:t>
                    </a:r>
                  </a:p>
                </c:rich>
              </c:tx>
              <c:numFmt formatCode="General" sourceLinked="0"/>
              <c:spPr>
                <a:solidFill>
                  <a:srgbClr val="FFFFFF"/>
                </a:solidFill>
                <a:ln w="3175">
                  <a:solidFill>
                    <a:srgbClr val="000000"/>
                  </a:solidFill>
                  <a:prstDash val="solid"/>
                </a:ln>
              </c:spPr>
            </c:trendlineLbl>
          </c:trendline>
          <c:xVal>
            <c:numRef>
              <c:f>'Normal SFOC'!$B$3:$B$34</c:f>
              <c:numCache>
                <c:formatCode>General</c:formatCode>
                <c:ptCount val="32"/>
                <c:pt idx="0">
                  <c:v>25</c:v>
                </c:pt>
                <c:pt idx="1">
                  <c:v>30</c:v>
                </c:pt>
                <c:pt idx="2">
                  <c:v>35</c:v>
                </c:pt>
                <c:pt idx="3">
                  <c:v>40</c:v>
                </c:pt>
                <c:pt idx="4">
                  <c:v>45</c:v>
                </c:pt>
                <c:pt idx="5">
                  <c:v>50</c:v>
                </c:pt>
                <c:pt idx="6">
                  <c:v>55</c:v>
                </c:pt>
                <c:pt idx="7">
                  <c:v>60</c:v>
                </c:pt>
                <c:pt idx="8">
                  <c:v>65</c:v>
                </c:pt>
                <c:pt idx="9">
                  <c:v>70</c:v>
                </c:pt>
                <c:pt idx="10">
                  <c:v>75</c:v>
                </c:pt>
                <c:pt idx="11">
                  <c:v>80</c:v>
                </c:pt>
                <c:pt idx="12">
                  <c:v>85</c:v>
                </c:pt>
                <c:pt idx="13">
                  <c:v>90</c:v>
                </c:pt>
                <c:pt idx="14">
                  <c:v>95</c:v>
                </c:pt>
                <c:pt idx="15">
                  <c:v>100</c:v>
                </c:pt>
                <c:pt idx="16">
                  <c:v>25</c:v>
                </c:pt>
                <c:pt idx="17">
                  <c:v>30</c:v>
                </c:pt>
                <c:pt idx="18">
                  <c:v>35</c:v>
                </c:pt>
                <c:pt idx="19">
                  <c:v>40</c:v>
                </c:pt>
                <c:pt idx="20">
                  <c:v>45</c:v>
                </c:pt>
                <c:pt idx="21">
                  <c:v>50</c:v>
                </c:pt>
                <c:pt idx="22">
                  <c:v>55</c:v>
                </c:pt>
                <c:pt idx="23">
                  <c:v>60</c:v>
                </c:pt>
                <c:pt idx="24">
                  <c:v>65</c:v>
                </c:pt>
                <c:pt idx="25">
                  <c:v>70</c:v>
                </c:pt>
                <c:pt idx="26">
                  <c:v>75</c:v>
                </c:pt>
                <c:pt idx="27">
                  <c:v>80</c:v>
                </c:pt>
                <c:pt idx="28">
                  <c:v>85</c:v>
                </c:pt>
                <c:pt idx="29">
                  <c:v>90</c:v>
                </c:pt>
                <c:pt idx="30">
                  <c:v>95</c:v>
                </c:pt>
                <c:pt idx="31">
                  <c:v>100</c:v>
                </c:pt>
              </c:numCache>
            </c:numRef>
          </c:xVal>
          <c:yVal>
            <c:numRef>
              <c:f>'Normal SFOC'!$D$3:$D$34</c:f>
              <c:numCache>
                <c:formatCode>0.0</c:formatCode>
                <c:ptCount val="32"/>
                <c:pt idx="0">
                  <c:v>6.7073170731707377</c:v>
                </c:pt>
                <c:pt idx="1">
                  <c:v>5.4878048780487854</c:v>
                </c:pt>
                <c:pt idx="2">
                  <c:v>4.451219512195137</c:v>
                </c:pt>
                <c:pt idx="3">
                  <c:v>3.5365853658536617</c:v>
                </c:pt>
                <c:pt idx="4">
                  <c:v>2.5609756097560998</c:v>
                </c:pt>
                <c:pt idx="5">
                  <c:v>1.8292682926829285</c:v>
                </c:pt>
                <c:pt idx="6">
                  <c:v>1.0975609756097571</c:v>
                </c:pt>
                <c:pt idx="7">
                  <c:v>0.48780487804878092</c:v>
                </c:pt>
                <c:pt idx="8">
                  <c:v>0.12195121951219523</c:v>
                </c:pt>
                <c:pt idx="9">
                  <c:v>0</c:v>
                </c:pt>
                <c:pt idx="10">
                  <c:v>6.0975609756086513E-2</c:v>
                </c:pt>
                <c:pt idx="11">
                  <c:v>0.18292682926830395</c:v>
                </c:pt>
                <c:pt idx="12">
                  <c:v>0.60975609756097615</c:v>
                </c:pt>
                <c:pt idx="13">
                  <c:v>1.0975609756097571</c:v>
                </c:pt>
                <c:pt idx="14">
                  <c:v>1.7073170731707332</c:v>
                </c:pt>
                <c:pt idx="15">
                  <c:v>2.4390243902439046</c:v>
                </c:pt>
                <c:pt idx="16" formatCode="0.00">
                  <c:v>6.5476190476190466</c:v>
                </c:pt>
                <c:pt idx="17" formatCode="0.00">
                  <c:v>5.3571428571428603</c:v>
                </c:pt>
                <c:pt idx="18" formatCode="0.00">
                  <c:v>4.2261904761904834</c:v>
                </c:pt>
                <c:pt idx="19" formatCode="0.00">
                  <c:v>3.2142857142857251</c:v>
                </c:pt>
                <c:pt idx="20" formatCode="0.00">
                  <c:v>2.4999999999999911</c:v>
                </c:pt>
                <c:pt idx="21" formatCode="0.00">
                  <c:v>1.7857142857142794</c:v>
                </c:pt>
                <c:pt idx="22" formatCode="0.00">
                  <c:v>1.25</c:v>
                </c:pt>
                <c:pt idx="23" formatCode="0.00">
                  <c:v>0.77380952380952106</c:v>
                </c:pt>
                <c:pt idx="24" formatCode="0.00">
                  <c:v>0.41666666666666519</c:v>
                </c:pt>
                <c:pt idx="25" formatCode="0.00">
                  <c:v>0.17857142857142794</c:v>
                </c:pt>
                <c:pt idx="26" formatCode="0.00">
                  <c:v>5.9523809523809312E-2</c:v>
                </c:pt>
                <c:pt idx="27" formatCode="0.00">
                  <c:v>0</c:v>
                </c:pt>
                <c:pt idx="28" formatCode="0.00">
                  <c:v>0.17857142857142794</c:v>
                </c:pt>
                <c:pt idx="29" formatCode="0.00">
                  <c:v>0.4761904761904745</c:v>
                </c:pt>
                <c:pt idx="30" formatCode="0.00">
                  <c:v>1.0119047619047583</c:v>
                </c:pt>
                <c:pt idx="31" formatCode="0.00">
                  <c:v>1.7857142857142794</c:v>
                </c:pt>
              </c:numCache>
            </c:numRef>
          </c:yVal>
          <c:smooth val="0"/>
        </c:ser>
        <c:ser>
          <c:idx val="1"/>
          <c:order val="1"/>
          <c:tx>
            <c:v>2nd order polynomium approximation</c:v>
          </c:tx>
          <c:spPr>
            <a:ln w="38100">
              <a:solidFill>
                <a:srgbClr val="FF0000"/>
              </a:solidFill>
              <a:prstDash val="solid"/>
            </a:ln>
          </c:spPr>
          <c:marker>
            <c:symbol val="circle"/>
            <c:size val="7"/>
            <c:spPr>
              <a:solidFill>
                <a:srgbClr val="FFFF00"/>
              </a:solidFill>
              <a:ln>
                <a:solidFill>
                  <a:srgbClr val="000000"/>
                </a:solidFill>
                <a:prstDash val="solid"/>
              </a:ln>
            </c:spPr>
          </c:marker>
          <c:xVal>
            <c:numRef>
              <c:f>'Normal SFOC'!$B$36:$B$51</c:f>
              <c:numCache>
                <c:formatCode>General</c:formatCode>
                <c:ptCount val="16"/>
                <c:pt idx="0">
                  <c:v>25</c:v>
                </c:pt>
                <c:pt idx="1">
                  <c:v>30</c:v>
                </c:pt>
                <c:pt idx="2">
                  <c:v>35</c:v>
                </c:pt>
                <c:pt idx="3">
                  <c:v>40</c:v>
                </c:pt>
                <c:pt idx="4">
                  <c:v>45</c:v>
                </c:pt>
                <c:pt idx="5">
                  <c:v>50</c:v>
                </c:pt>
                <c:pt idx="6">
                  <c:v>55</c:v>
                </c:pt>
                <c:pt idx="7">
                  <c:v>60</c:v>
                </c:pt>
                <c:pt idx="8">
                  <c:v>65</c:v>
                </c:pt>
                <c:pt idx="9">
                  <c:v>70</c:v>
                </c:pt>
                <c:pt idx="10">
                  <c:v>75</c:v>
                </c:pt>
                <c:pt idx="11">
                  <c:v>80</c:v>
                </c:pt>
                <c:pt idx="12">
                  <c:v>85</c:v>
                </c:pt>
                <c:pt idx="13">
                  <c:v>90</c:v>
                </c:pt>
                <c:pt idx="14">
                  <c:v>95</c:v>
                </c:pt>
                <c:pt idx="15">
                  <c:v>100</c:v>
                </c:pt>
              </c:numCache>
            </c:numRef>
          </c:xVal>
          <c:yVal>
            <c:numRef>
              <c:f>'Normal SFOC'!$D$36:$D$51</c:f>
              <c:numCache>
                <c:formatCode>0.00</c:formatCode>
                <c:ptCount val="16"/>
                <c:pt idx="0">
                  <c:v>6.5</c:v>
                </c:pt>
                <c:pt idx="1">
                  <c:v>5.2200000000000006</c:v>
                </c:pt>
                <c:pt idx="2">
                  <c:v>4.08</c:v>
                </c:pt>
                <c:pt idx="3">
                  <c:v>3.0800000000000018</c:v>
                </c:pt>
                <c:pt idx="4">
                  <c:v>2.2200000000000006</c:v>
                </c:pt>
                <c:pt idx="5">
                  <c:v>1.5</c:v>
                </c:pt>
                <c:pt idx="6">
                  <c:v>0.92000000000000348</c:v>
                </c:pt>
                <c:pt idx="7">
                  <c:v>0.4800000000000022</c:v>
                </c:pt>
                <c:pt idx="8">
                  <c:v>0.18000000000000149</c:v>
                </c:pt>
                <c:pt idx="9">
                  <c:v>2.000000000000135E-2</c:v>
                </c:pt>
                <c:pt idx="10">
                  <c:v>0</c:v>
                </c:pt>
                <c:pt idx="11">
                  <c:v>0.12000000000000099</c:v>
                </c:pt>
                <c:pt idx="12">
                  <c:v>0.37999999999999901</c:v>
                </c:pt>
                <c:pt idx="13">
                  <c:v>0.78000000000000114</c:v>
                </c:pt>
                <c:pt idx="14">
                  <c:v>1.3200000000000038</c:v>
                </c:pt>
                <c:pt idx="15">
                  <c:v>2</c:v>
                </c:pt>
              </c:numCache>
            </c:numRef>
          </c:yVal>
          <c:smooth val="0"/>
        </c:ser>
        <c:dLbls>
          <c:showLegendKey val="0"/>
          <c:showVal val="0"/>
          <c:showCatName val="0"/>
          <c:showSerName val="0"/>
          <c:showPercent val="0"/>
          <c:showBubbleSize val="0"/>
        </c:dLbls>
        <c:axId val="290210944"/>
        <c:axId val="290213248"/>
      </c:scatterChart>
      <c:valAx>
        <c:axId val="290210944"/>
        <c:scaling>
          <c:orientation val="minMax"/>
          <c:max val="100"/>
          <c:min val="20"/>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da-DK"/>
                  <a:t>MCR (pct.)</a:t>
                </a:r>
              </a:p>
            </c:rich>
          </c:tx>
          <c:layout>
            <c:manualLayout>
              <c:xMode val="edge"/>
              <c:yMode val="edge"/>
              <c:x val="0.46386220642212733"/>
              <c:y val="0.9238966529707345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a-DK"/>
          </a:p>
        </c:txPr>
        <c:crossAx val="290213248"/>
        <c:crosses val="autoZero"/>
        <c:crossBetween val="midCat"/>
        <c:majorUnit val="10"/>
      </c:valAx>
      <c:valAx>
        <c:axId val="29021324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da-DK"/>
                  <a:t>Extra SFOC (pct.)</a:t>
                </a:r>
              </a:p>
            </c:rich>
          </c:tx>
          <c:layout>
            <c:manualLayout>
              <c:xMode val="edge"/>
              <c:yMode val="edge"/>
              <c:x val="8.6300095411747518E-3"/>
              <c:y val="0.277016714533719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a-DK"/>
          </a:p>
        </c:txPr>
        <c:crossAx val="290210944"/>
        <c:crosses val="autoZero"/>
        <c:crossBetween val="midCat"/>
      </c:valAx>
      <c:spPr>
        <a:solidFill>
          <a:srgbClr val="FFFFFF"/>
        </a:solidFill>
        <a:ln w="3175">
          <a:solidFill>
            <a:srgbClr val="000000"/>
          </a:solidFill>
          <a:prstDash val="solid"/>
        </a:ln>
      </c:spPr>
    </c:plotArea>
    <c:legend>
      <c:legendPos val="r"/>
      <c:layout>
        <c:manualLayout>
          <c:xMode val="edge"/>
          <c:yMode val="edge"/>
          <c:wMode val="edge"/>
          <c:hMode val="edge"/>
          <c:x val="0.26778800935782121"/>
          <c:y val="0.19720790791203452"/>
          <c:w val="0.94696040582249341"/>
          <c:h val="0.36823780535286488"/>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da-DK"/>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da-DK"/>
    </a:p>
  </c:txPr>
  <c:printSettings>
    <c:headerFooter alignWithMargins="0"/>
    <c:pageMargins b="1" l="0.75" r="0.75"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a-DK"/>
              <a:t>Emissions per ton deadweight 
per nautical mile for tankers</a:t>
            </a:r>
          </a:p>
        </c:rich>
      </c:tx>
      <c:layout>
        <c:manualLayout>
          <c:xMode val="edge"/>
          <c:yMode val="edge"/>
          <c:x val="0.28008298755186722"/>
          <c:y val="1.362396106736658E-2"/>
        </c:manualLayout>
      </c:layout>
      <c:overlay val="0"/>
      <c:spPr>
        <a:noFill/>
        <a:ln w="25400">
          <a:noFill/>
        </a:ln>
      </c:spPr>
    </c:title>
    <c:autoTitleDeleted val="0"/>
    <c:plotArea>
      <c:layout/>
      <c:barChart>
        <c:barDir val="col"/>
        <c:grouping val="clustered"/>
        <c:varyColors val="0"/>
        <c:ser>
          <c:idx val="0"/>
          <c:order val="0"/>
          <c:tx>
            <c:v>Default values</c:v>
          </c:tx>
          <c:spPr>
            <a:solidFill>
              <a:srgbClr val="8080FF"/>
            </a:solidFill>
            <a:ln w="12700">
              <a:solidFill>
                <a:srgbClr val="000000"/>
              </a:solidFill>
              <a:prstDash val="solid"/>
            </a:ln>
          </c:spPr>
          <c:invertIfNegative val="0"/>
          <c:val>
            <c:numLit>
              <c:formatCode>General</c:formatCode>
              <c:ptCount val="1"/>
              <c:pt idx="0">
                <c:v>0</c:v>
              </c:pt>
            </c:numLit>
          </c:val>
        </c:ser>
        <c:ser>
          <c:idx val="1"/>
          <c:order val="1"/>
          <c:tx>
            <c:v>Alternative 1</c:v>
          </c:tx>
          <c:spPr>
            <a:solidFill>
              <a:srgbClr val="802060"/>
            </a:solidFill>
            <a:ln w="12700">
              <a:solidFill>
                <a:srgbClr val="000000"/>
              </a:solidFill>
              <a:prstDash val="solid"/>
            </a:ln>
          </c:spPr>
          <c:invertIfNegative val="0"/>
          <c:val>
            <c:numLit>
              <c:formatCode>General</c:formatCode>
              <c:ptCount val="1"/>
              <c:pt idx="0">
                <c:v>0</c:v>
              </c:pt>
            </c:numLit>
          </c:val>
        </c:ser>
        <c:ser>
          <c:idx val="2"/>
          <c:order val="2"/>
          <c:tx>
            <c:v>Alternative 2</c:v>
          </c:tx>
          <c:spPr>
            <a:solidFill>
              <a:srgbClr val="FFFFC0"/>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290318976"/>
        <c:axId val="290325248"/>
      </c:barChart>
      <c:catAx>
        <c:axId val="290318976"/>
        <c:scaling>
          <c:orientation val="minMax"/>
        </c:scaling>
        <c:delete val="0"/>
        <c:axPos val="b"/>
        <c:title>
          <c:tx>
            <c:rich>
              <a:bodyPr/>
              <a:lstStyle/>
              <a:p>
                <a:pPr>
                  <a:defRPr sz="1100" b="1" i="0" u="none" strike="noStrike" baseline="0">
                    <a:solidFill>
                      <a:srgbClr val="000000"/>
                    </a:solidFill>
                    <a:latin typeface="Arial"/>
                    <a:ea typeface="Arial"/>
                    <a:cs typeface="Arial"/>
                  </a:defRPr>
                </a:pPr>
                <a:r>
                  <a:rPr lang="da-DK"/>
                  <a:t>Emission types</a:t>
                </a:r>
              </a:p>
            </c:rich>
          </c:tx>
          <c:layout>
            <c:manualLayout>
              <c:xMode val="edge"/>
              <c:yMode val="edge"/>
              <c:x val="0.46265560165975106"/>
              <c:y val="0.9318812882764654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da-DK"/>
          </a:p>
        </c:txPr>
        <c:crossAx val="290325248"/>
        <c:crosses val="autoZero"/>
        <c:auto val="1"/>
        <c:lblAlgn val="ctr"/>
        <c:lblOffset val="100"/>
        <c:tickLblSkip val="1"/>
        <c:tickMarkSkip val="1"/>
        <c:noMultiLvlLbl val="0"/>
      </c:catAx>
      <c:valAx>
        <c:axId val="290325248"/>
        <c:scaling>
          <c:orientation val="minMax"/>
        </c:scaling>
        <c:delete val="0"/>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rPr lang="da-DK"/>
                  <a:t>g/dwt/nm</a:t>
                </a:r>
              </a:p>
            </c:rich>
          </c:tx>
          <c:layout>
            <c:manualLayout>
              <c:xMode val="edge"/>
              <c:yMode val="edge"/>
              <c:x val="2.0746887966804978E-2"/>
              <c:y val="0.425068624234470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da-DK"/>
          </a:p>
        </c:txPr>
        <c:crossAx val="290318976"/>
        <c:crosses val="autoZero"/>
        <c:crossBetween val="between"/>
      </c:valAx>
      <c:spPr>
        <a:solidFill>
          <a:srgbClr val="FFFFFF"/>
        </a:solid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da-DK"/>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a-DK"/>
    </a:p>
  </c:tx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v>LR - 1995</c:v>
          </c:tx>
          <c:spPr>
            <a:ln w="25400">
              <a:solidFill>
                <a:srgbClr val="993366"/>
              </a:solidFill>
              <a:prstDash val="solid"/>
            </a:ln>
          </c:spPr>
          <c:marker>
            <c:symbol val="circle"/>
            <c:size val="8"/>
            <c:spPr>
              <a:solidFill>
                <a:srgbClr val="969696"/>
              </a:solidFill>
              <a:ln>
                <a:solidFill>
                  <a:srgbClr val="000000"/>
                </a:solidFill>
                <a:prstDash val="solid"/>
              </a:ln>
            </c:spPr>
          </c:marker>
          <c:yVal>
            <c:numLit>
              <c:formatCode>General</c:formatCode>
              <c:ptCount val="1"/>
              <c:pt idx="0">
                <c:v>0</c:v>
              </c:pt>
            </c:numLit>
          </c:yVal>
          <c:smooth val="1"/>
        </c:ser>
        <c:ser>
          <c:idx val="1"/>
          <c:order val="1"/>
          <c:tx>
            <c:v>CIMAC paper 87 - 2010</c:v>
          </c:tx>
          <c:spPr>
            <a:ln w="25400">
              <a:solidFill>
                <a:srgbClr val="008000"/>
              </a:solidFill>
              <a:prstDash val="solid"/>
            </a:ln>
          </c:spPr>
          <c:marker>
            <c:symbol val="circle"/>
            <c:size val="8"/>
            <c:spPr>
              <a:solidFill>
                <a:srgbClr val="FFFF00"/>
              </a:solidFill>
              <a:ln>
                <a:solidFill>
                  <a:srgbClr val="000000"/>
                </a:solidFill>
                <a:prstDash val="solid"/>
              </a:ln>
            </c:spPr>
          </c:marker>
          <c:yVal>
            <c:numLit>
              <c:formatCode>General</c:formatCode>
              <c:ptCount val="1"/>
              <c:pt idx="0">
                <c:v>0</c:v>
              </c:pt>
            </c:numLit>
          </c:yVal>
          <c:smooth val="1"/>
        </c:ser>
        <c:ser>
          <c:idx val="2"/>
          <c:order val="2"/>
          <c:tx>
            <c:v>CIMAC paper 73 - 2010</c:v>
          </c:tx>
          <c:spPr>
            <a:ln w="25400">
              <a:solidFill>
                <a:srgbClr val="0000FF"/>
              </a:solidFill>
              <a:prstDash val="solid"/>
            </a:ln>
          </c:spPr>
          <c:marker>
            <c:symbol val="circle"/>
            <c:size val="7"/>
            <c:spPr>
              <a:solidFill>
                <a:srgbClr val="FF0000"/>
              </a:solidFill>
              <a:ln>
                <a:solidFill>
                  <a:srgbClr val="000000"/>
                </a:solidFill>
                <a:prstDash val="solid"/>
              </a:ln>
            </c:spPr>
          </c:marker>
          <c:yVal>
            <c:numLit>
              <c:formatCode>General</c:formatCode>
              <c:ptCount val="1"/>
              <c:pt idx="0">
                <c:v>0</c:v>
              </c:pt>
            </c:numLit>
          </c:yVal>
          <c:smooth val="1"/>
        </c:ser>
        <c:ser>
          <c:idx val="3"/>
          <c:order val="3"/>
          <c:tx>
            <c:v>Approximation</c:v>
          </c:tx>
          <c:spPr>
            <a:ln w="38100">
              <a:solidFill>
                <a:srgbClr val="000000"/>
              </a:solidFill>
              <a:prstDash val="solid"/>
            </a:ln>
          </c:spPr>
          <c:marker>
            <c:symbol val="none"/>
          </c:marker>
          <c:yVal>
            <c:numLit>
              <c:formatCode>General</c:formatCode>
              <c:ptCount val="1"/>
              <c:pt idx="0">
                <c:v>0</c:v>
              </c:pt>
            </c:numLit>
          </c:yVal>
          <c:smooth val="1"/>
        </c:ser>
        <c:dLbls>
          <c:showLegendKey val="0"/>
          <c:showVal val="0"/>
          <c:showCatName val="0"/>
          <c:showSerName val="0"/>
          <c:showPercent val="0"/>
          <c:showBubbleSize val="0"/>
        </c:dLbls>
        <c:axId val="300819968"/>
        <c:axId val="302766336"/>
      </c:scatterChart>
      <c:valAx>
        <c:axId val="300819968"/>
        <c:scaling>
          <c:orientation val="minMax"/>
          <c:max val="3.5"/>
          <c:min val="0"/>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da-DK"/>
                  <a:t>Sulphur content (per cent)</a:t>
                </a:r>
              </a:p>
            </c:rich>
          </c:tx>
          <c:layout>
            <c:manualLayout>
              <c:xMode val="edge"/>
              <c:yMode val="edge"/>
              <c:x val="0.38227146276318985"/>
              <c:y val="0.92067310134620273"/>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a-DK"/>
          </a:p>
        </c:txPr>
        <c:crossAx val="302766336"/>
        <c:crosses val="autoZero"/>
        <c:crossBetween val="midCat"/>
        <c:majorUnit val="0.5"/>
      </c:valAx>
      <c:valAx>
        <c:axId val="302766336"/>
        <c:scaling>
          <c:orientation val="minMax"/>
          <c:max val="2.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da-DK"/>
                  <a:t>PM (g/kWh)</a:t>
                </a:r>
              </a:p>
            </c:rich>
          </c:tx>
          <c:layout>
            <c:manualLayout>
              <c:xMode val="edge"/>
              <c:yMode val="edge"/>
              <c:x val="6.9252488813347666E-3"/>
              <c:y val="0.32692303784607574"/>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a-DK"/>
          </a:p>
        </c:txPr>
        <c:crossAx val="300819968"/>
        <c:crosses val="autoZero"/>
        <c:crossBetween val="midCat"/>
      </c:valAx>
      <c:spPr>
        <a:solidFill>
          <a:srgbClr val="FFFFFF"/>
        </a:solid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da-DK"/>
        </a:p>
      </c:txPr>
    </c:legend>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da-DK"/>
    </a:p>
  </c:txPr>
  <c:printSettings>
    <c:headerFooter alignWithMargins="0"/>
    <c:pageMargins b="1" l="0.75" r="0.75" t="1" header="0" footer="0"/>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3"/>
          <c:order val="0"/>
          <c:tx>
            <c:v>All test results</c:v>
          </c:tx>
          <c:spPr>
            <a:ln w="28575">
              <a:noFill/>
            </a:ln>
          </c:spPr>
          <c:marker>
            <c:symbol val="circle"/>
            <c:size val="8"/>
            <c:spPr>
              <a:solidFill>
                <a:srgbClr val="FF0000"/>
              </a:solidFill>
              <a:ln>
                <a:solidFill>
                  <a:srgbClr val="000000"/>
                </a:solidFill>
                <a:prstDash val="solid"/>
              </a:ln>
            </c:spPr>
          </c:marker>
          <c:trendline>
            <c:spPr>
              <a:ln w="25400">
                <a:solidFill>
                  <a:srgbClr val="000000"/>
                </a:solidFill>
                <a:prstDash val="solid"/>
              </a:ln>
            </c:spPr>
            <c:trendlineType val="poly"/>
            <c:order val="2"/>
            <c:dispRSqr val="1"/>
            <c:dispEq val="1"/>
            <c:trendlineLbl>
              <c:layout>
                <c:manualLayout>
                  <c:xMode val="edge"/>
                  <c:yMode val="edge"/>
                  <c:x val="0.63436150638487165"/>
                  <c:y val="0.11204036248832878"/>
                </c:manualLayout>
              </c:layout>
              <c:tx>
                <c:rich>
                  <a:bodyPr/>
                  <a:lstStyle/>
                  <a:p>
                    <a:pPr>
                      <a:defRPr sz="1025" b="0" i="0" u="none" strike="noStrike" baseline="0">
                        <a:solidFill>
                          <a:srgbClr val="000000"/>
                        </a:solidFill>
                        <a:latin typeface="Arial"/>
                        <a:ea typeface="Arial"/>
                        <a:cs typeface="Arial"/>
                      </a:defRPr>
                    </a:pPr>
                    <a:r>
                      <a:rPr lang="da-DK" sz="1175" b="0" i="0" u="none" strike="noStrike" baseline="0">
                        <a:solidFill>
                          <a:srgbClr val="000000"/>
                        </a:solidFill>
                        <a:latin typeface="Arial"/>
                        <a:cs typeface="Arial"/>
                      </a:rPr>
                      <a:t>y = 0.1034x</a:t>
                    </a:r>
                    <a:r>
                      <a:rPr lang="da-DK" sz="1175" b="0" i="0" u="none" strike="noStrike" baseline="30000">
                        <a:solidFill>
                          <a:srgbClr val="000000"/>
                        </a:solidFill>
                        <a:latin typeface="Arial"/>
                        <a:cs typeface="Arial"/>
                      </a:rPr>
                      <a:t>2</a:t>
                    </a:r>
                    <a:r>
                      <a:rPr lang="da-DK" sz="1175" b="0" i="0" u="none" strike="noStrike" baseline="0">
                        <a:solidFill>
                          <a:srgbClr val="000000"/>
                        </a:solidFill>
                        <a:latin typeface="Arial"/>
                        <a:cs typeface="Arial"/>
                      </a:rPr>
                      <a:t> + 0.0808x + 0.261</a:t>
                    </a:r>
                  </a:p>
                  <a:p>
                    <a:pPr>
                      <a:defRPr sz="1025" b="0" i="0" u="none" strike="noStrike" baseline="0">
                        <a:solidFill>
                          <a:srgbClr val="000000"/>
                        </a:solidFill>
                        <a:latin typeface="Arial"/>
                        <a:ea typeface="Arial"/>
                        <a:cs typeface="Arial"/>
                      </a:defRPr>
                    </a:pPr>
                    <a:r>
                      <a:rPr lang="da-DK" sz="1175" b="0" i="0" u="none" strike="noStrike" baseline="0">
                        <a:solidFill>
                          <a:srgbClr val="000000"/>
                        </a:solidFill>
                        <a:latin typeface="Arial"/>
                        <a:cs typeface="Arial"/>
                      </a:rPr>
                      <a:t>R</a:t>
                    </a:r>
                    <a:r>
                      <a:rPr lang="da-DK" sz="1175" b="0" i="0" u="none" strike="noStrike" baseline="30000">
                        <a:solidFill>
                          <a:srgbClr val="000000"/>
                        </a:solidFill>
                        <a:latin typeface="Arial"/>
                        <a:cs typeface="Arial"/>
                      </a:rPr>
                      <a:t>2</a:t>
                    </a:r>
                    <a:r>
                      <a:rPr lang="da-DK" sz="1175" b="0" i="0" u="none" strike="noStrike" baseline="0">
                        <a:solidFill>
                          <a:srgbClr val="000000"/>
                        </a:solidFill>
                        <a:latin typeface="Arial"/>
                        <a:cs typeface="Arial"/>
                      </a:rPr>
                      <a:t> = 0.72</a:t>
                    </a:r>
                  </a:p>
                </c:rich>
              </c:tx>
              <c:numFmt formatCode="General" sourceLinked="0"/>
              <c:spPr>
                <a:solidFill>
                  <a:srgbClr val="FFFFFF"/>
                </a:solidFill>
                <a:ln w="3175">
                  <a:solidFill>
                    <a:srgbClr val="000000"/>
                  </a:solidFill>
                  <a:prstDash val="solid"/>
                </a:ln>
              </c:spPr>
            </c:trendlineLbl>
          </c:trendline>
          <c:yVal>
            <c:numLit>
              <c:formatCode>General</c:formatCode>
              <c:ptCount val="1"/>
              <c:pt idx="0">
                <c:v>0</c:v>
              </c:pt>
            </c:numLit>
          </c:yVal>
          <c:smooth val="0"/>
        </c:ser>
        <c:dLbls>
          <c:showLegendKey val="0"/>
          <c:showVal val="0"/>
          <c:showCatName val="0"/>
          <c:showSerName val="0"/>
          <c:showPercent val="0"/>
          <c:showBubbleSize val="0"/>
        </c:dLbls>
        <c:axId val="199864704"/>
        <c:axId val="199866240"/>
      </c:scatterChart>
      <c:valAx>
        <c:axId val="199864704"/>
        <c:scaling>
          <c:orientation val="minMax"/>
          <c:max val="3.5"/>
          <c:min val="0"/>
        </c:scaling>
        <c:delete val="0"/>
        <c:axPos val="b"/>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da-DK"/>
                  <a:t>Sulphur content (per cent)</a:t>
                </a:r>
              </a:p>
            </c:rich>
          </c:tx>
          <c:layout>
            <c:manualLayout>
              <c:xMode val="edge"/>
              <c:yMode val="edge"/>
              <c:x val="0.37396121960525863"/>
              <c:y val="0.9189189687409474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da-DK"/>
          </a:p>
        </c:txPr>
        <c:crossAx val="199866240"/>
        <c:crosses val="autoZero"/>
        <c:crossBetween val="midCat"/>
        <c:majorUnit val="0.5"/>
      </c:valAx>
      <c:valAx>
        <c:axId val="199866240"/>
        <c:scaling>
          <c:orientation val="minMax"/>
          <c:max val="2.5"/>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da-DK"/>
                  <a:t>PM (g/kWh)</a:t>
                </a:r>
              </a:p>
            </c:rich>
          </c:tx>
          <c:layout>
            <c:manualLayout>
              <c:xMode val="edge"/>
              <c:yMode val="edge"/>
              <c:x val="6.9252488813347666E-3"/>
              <c:y val="0.326781397308614"/>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da-DK"/>
          </a:p>
        </c:txPr>
        <c:crossAx val="199864704"/>
        <c:crosses val="autoZero"/>
        <c:crossBetween val="midCat"/>
      </c:valAx>
      <c:spPr>
        <a:solidFill>
          <a:srgbClr val="FFFFFF"/>
        </a:solid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da-DK"/>
        </a:p>
      </c:txPr>
    </c:legend>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da-DK"/>
    </a:p>
  </c:txPr>
  <c:printSettings>
    <c:headerFooter alignWithMargins="0"/>
    <c:pageMargins b="1" l="0.75" r="0.75"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3.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chart" Target="../charts/chart5.xml"/><Relationship Id="rId5" Type="http://schemas.openxmlformats.org/officeDocument/2006/relationships/image" Target="../media/image7.emf"/><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13</xdr:col>
      <xdr:colOff>22860</xdr:colOff>
      <xdr:row>2</xdr:row>
      <xdr:rowOff>106680</xdr:rowOff>
    </xdr:from>
    <xdr:to>
      <xdr:col>21</xdr:col>
      <xdr:colOff>60960</xdr:colOff>
      <xdr:row>23</xdr:row>
      <xdr:rowOff>121920</xdr:rowOff>
    </xdr:to>
    <xdr:graphicFrame macro="">
      <xdr:nvGraphicFramePr>
        <xdr:cNvPr id="1025"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24</xdr:row>
      <xdr:rowOff>45720</xdr:rowOff>
    </xdr:from>
    <xdr:to>
      <xdr:col>22</xdr:col>
      <xdr:colOff>114300</xdr:colOff>
      <xdr:row>49</xdr:row>
      <xdr:rowOff>60960</xdr:rowOff>
    </xdr:to>
    <xdr:graphicFrame macro="">
      <xdr:nvGraphicFramePr>
        <xdr:cNvPr id="1026"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0</xdr:colOff>
      <xdr:row>20</xdr:row>
      <xdr:rowOff>0</xdr:rowOff>
    </xdr:from>
    <xdr:to>
      <xdr:col>11</xdr:col>
      <xdr:colOff>30480</xdr:colOff>
      <xdr:row>44</xdr:row>
      <xdr:rowOff>22860</xdr:rowOff>
    </xdr:to>
    <xdr:pic>
      <xdr:nvPicPr>
        <xdr:cNvPr id="1027"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8560" y="3352800"/>
          <a:ext cx="6035040" cy="404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655320</xdr:colOff>
      <xdr:row>45</xdr:row>
      <xdr:rowOff>0</xdr:rowOff>
    </xdr:from>
    <xdr:to>
      <xdr:col>10</xdr:col>
      <xdr:colOff>716280</xdr:colOff>
      <xdr:row>67</xdr:row>
      <xdr:rowOff>45720</xdr:rowOff>
    </xdr:to>
    <xdr:pic>
      <xdr:nvPicPr>
        <xdr:cNvPr id="1028"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81400" y="7543800"/>
          <a:ext cx="6027420" cy="373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30480</xdr:colOff>
      <xdr:row>50</xdr:row>
      <xdr:rowOff>38100</xdr:rowOff>
    </xdr:from>
    <xdr:to>
      <xdr:col>16</xdr:col>
      <xdr:colOff>381000</xdr:colOff>
      <xdr:row>76</xdr:row>
      <xdr:rowOff>144780</xdr:rowOff>
    </xdr:to>
    <xdr:pic>
      <xdr:nvPicPr>
        <xdr:cNvPr id="1029"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753600" y="8420100"/>
          <a:ext cx="3398520" cy="446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60960</xdr:colOff>
      <xdr:row>25</xdr:row>
      <xdr:rowOff>99060</xdr:rowOff>
    </xdr:from>
    <xdr:to>
      <xdr:col>14</xdr:col>
      <xdr:colOff>99060</xdr:colOff>
      <xdr:row>46</xdr:row>
      <xdr:rowOff>121920</xdr:rowOff>
    </xdr:to>
    <xdr:graphicFrame macro="">
      <xdr:nvGraphicFramePr>
        <xdr:cNvPr id="2049"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464820</xdr:colOff>
      <xdr:row>46</xdr:row>
      <xdr:rowOff>76200</xdr:rowOff>
    </xdr:from>
    <xdr:to>
      <xdr:col>15</xdr:col>
      <xdr:colOff>259080</xdr:colOff>
      <xdr:row>72</xdr:row>
      <xdr:rowOff>83820</xdr:rowOff>
    </xdr:to>
    <xdr:graphicFrame macro="">
      <xdr:nvGraphicFramePr>
        <xdr:cNvPr id="2050"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7620</xdr:colOff>
      <xdr:row>1</xdr:row>
      <xdr:rowOff>22860</xdr:rowOff>
    </xdr:from>
    <xdr:to>
      <xdr:col>16</xdr:col>
      <xdr:colOff>30480</xdr:colOff>
      <xdr:row>25</xdr:row>
      <xdr:rowOff>38100</xdr:rowOff>
    </xdr:to>
    <xdr:pic>
      <xdr:nvPicPr>
        <xdr:cNvPr id="2051"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88080" y="190500"/>
          <a:ext cx="6118860" cy="403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77</xdr:row>
      <xdr:rowOff>76200</xdr:rowOff>
    </xdr:from>
    <xdr:to>
      <xdr:col>5</xdr:col>
      <xdr:colOff>0</xdr:colOff>
      <xdr:row>95</xdr:row>
      <xdr:rowOff>175260</xdr:rowOff>
    </xdr:to>
    <xdr:graphicFrame macro="">
      <xdr:nvGraphicFramePr>
        <xdr:cNvPr id="3073"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213360</xdr:colOff>
      <xdr:row>0</xdr:row>
      <xdr:rowOff>0</xdr:rowOff>
    </xdr:from>
    <xdr:to>
      <xdr:col>11</xdr:col>
      <xdr:colOff>228600</xdr:colOff>
      <xdr:row>37</xdr:row>
      <xdr:rowOff>129540</xdr:rowOff>
    </xdr:to>
    <xdr:pic>
      <xdr:nvPicPr>
        <xdr:cNvPr id="3074" name="Picture 10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10300" y="0"/>
          <a:ext cx="5867400" cy="795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137160</xdr:colOff>
      <xdr:row>80</xdr:row>
      <xdr:rowOff>312420</xdr:rowOff>
    </xdr:from>
    <xdr:to>
      <xdr:col>11</xdr:col>
      <xdr:colOff>152400</xdr:colOff>
      <xdr:row>107</xdr:row>
      <xdr:rowOff>137160</xdr:rowOff>
    </xdr:to>
    <xdr:pic>
      <xdr:nvPicPr>
        <xdr:cNvPr id="3075" name="Picture 110"/>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34100" y="16360140"/>
          <a:ext cx="5867400" cy="548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144780</xdr:colOff>
      <xdr:row>37</xdr:row>
      <xdr:rowOff>76200</xdr:rowOff>
    </xdr:from>
    <xdr:to>
      <xdr:col>11</xdr:col>
      <xdr:colOff>304800</xdr:colOff>
      <xdr:row>81</xdr:row>
      <xdr:rowOff>45720</xdr:rowOff>
    </xdr:to>
    <xdr:pic>
      <xdr:nvPicPr>
        <xdr:cNvPr id="3076" name="Picture 13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41720" y="7901940"/>
          <a:ext cx="6012180" cy="8549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198120</xdr:colOff>
      <xdr:row>108</xdr:row>
      <xdr:rowOff>53340</xdr:rowOff>
    </xdr:from>
    <xdr:to>
      <xdr:col>11</xdr:col>
      <xdr:colOff>541020</xdr:colOff>
      <xdr:row>130</xdr:row>
      <xdr:rowOff>45720</xdr:rowOff>
    </xdr:to>
    <xdr:pic>
      <xdr:nvPicPr>
        <xdr:cNvPr id="3077" name="Billede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195060" y="21953220"/>
          <a:ext cx="6195060" cy="418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40</xdr:row>
      <xdr:rowOff>0</xdr:rowOff>
    </xdr:from>
    <xdr:to>
      <xdr:col>4</xdr:col>
      <xdr:colOff>0</xdr:colOff>
      <xdr:row>40</xdr:row>
      <xdr:rowOff>0</xdr:rowOff>
    </xdr:to>
    <xdr:graphicFrame macro="">
      <xdr:nvGraphicFramePr>
        <xdr:cNvPr id="409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40</xdr:row>
      <xdr:rowOff>0</xdr:rowOff>
    </xdr:from>
    <xdr:to>
      <xdr:col>4</xdr:col>
      <xdr:colOff>0</xdr:colOff>
      <xdr:row>40</xdr:row>
      <xdr:rowOff>0</xdr:rowOff>
    </xdr:to>
    <xdr:graphicFrame macro="">
      <xdr:nvGraphicFramePr>
        <xdr:cNvPr id="409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FOLDERS-1\Emissions%20st&#248;ttesystem\Opdatering%20af%20beslutningsst&#248;ttesystem\Komplet%20programpakke\SHIP-DESMO-Container%20Ship%20-%2010%20October%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CENSE AGREEMENT"/>
      <sheetName val="Low load SFOC"/>
      <sheetName val="Normal SFOC"/>
      <sheetName val="Emission factors"/>
      <sheetName val="SHIP DATA"/>
      <sheetName val="Emissions in harbor"/>
      <sheetName val="Emissions-TEU"/>
      <sheetName val="Emissions-ton"/>
      <sheetName val="WEIGHT"/>
      <sheetName val="PS1"/>
      <sheetName val="PT1-1"/>
      <sheetName val="PT1-2"/>
      <sheetName val="PAS1"/>
      <sheetName val="PS2"/>
      <sheetName val="PT2-1"/>
      <sheetName val="PT2-2"/>
      <sheetName val="PAS2"/>
      <sheetName val="PS3"/>
      <sheetName val="PT3-1"/>
      <sheetName val="PT3-2"/>
      <sheetName val="PAS3"/>
      <sheetName val="Design Tool Input"/>
      <sheetName val="Results"/>
      <sheetName val="Results 1"/>
      <sheetName val="Results 2"/>
      <sheetName val="Results 3"/>
      <sheetName val="Results 4"/>
      <sheetName val="Results 5"/>
      <sheetName val="Results low Cb"/>
      <sheetName val="Results low Cb 1"/>
      <sheetName val="Results low Cb 2"/>
      <sheetName val="Results low Cb 3"/>
      <sheetName val="Results low Cb 4"/>
      <sheetName val="Results low Cb 5"/>
      <sheetName val="Wave spectra"/>
      <sheetName val="Interpolation low Cb"/>
      <sheetName val="Interpolation low Cb 1"/>
      <sheetName val="Interpolation low Cb 2"/>
      <sheetName val="Interpolation low Cb 3"/>
      <sheetName val="Interpolation low Cb 4"/>
      <sheetName val="Interpolation low Cb 5"/>
      <sheetName val="S1_Low"/>
      <sheetName val="S2_Low"/>
      <sheetName val="S3_Low"/>
      <sheetName val="S4_Low"/>
      <sheetName val="S5_Low"/>
      <sheetName val="S6_Low"/>
      <sheetName val="S7_Low"/>
      <sheetName val="S8_Low"/>
      <sheetName val="S9_Low"/>
      <sheetName val="Ark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5">
          <cell r="D5">
            <v>324.2046078566504</v>
          </cell>
          <cell r="E5">
            <v>324.2046078566504</v>
          </cell>
          <cell r="F5">
            <v>324.2046078566504</v>
          </cell>
          <cell r="J5">
            <v>324.2046078566504</v>
          </cell>
          <cell r="K5">
            <v>324.2046078566504</v>
          </cell>
          <cell r="L5">
            <v>324.2046078566504</v>
          </cell>
        </row>
        <row r="6">
          <cell r="D6">
            <v>45.970292825024124</v>
          </cell>
          <cell r="E6">
            <v>45.970292825024124</v>
          </cell>
          <cell r="F6">
            <v>45.970292825024124</v>
          </cell>
        </row>
        <row r="7">
          <cell r="D7">
            <v>13.302924637123343</v>
          </cell>
          <cell r="E7">
            <v>13.302924637123343</v>
          </cell>
          <cell r="F7">
            <v>13.302924637123343</v>
          </cell>
        </row>
        <row r="8">
          <cell r="D8">
            <v>0.64592864984907705</v>
          </cell>
          <cell r="E8">
            <v>0.64592864984907705</v>
          </cell>
          <cell r="F8">
            <v>0.64592864984907705</v>
          </cell>
        </row>
        <row r="9">
          <cell r="D9">
            <v>7.0524808073480063</v>
          </cell>
          <cell r="E9">
            <v>7.0524808073480063</v>
          </cell>
          <cell r="F9">
            <v>7.0524808073480063</v>
          </cell>
          <cell r="J9">
            <v>7.0524808073480063</v>
          </cell>
          <cell r="K9">
            <v>7.0524808073480063</v>
          </cell>
          <cell r="L9">
            <v>7.0524808073480063</v>
          </cell>
        </row>
        <row r="10">
          <cell r="D10">
            <v>3.4556531047871029</v>
          </cell>
          <cell r="E10">
            <v>3.4556531047871029</v>
          </cell>
          <cell r="F10">
            <v>3.4556531047871029</v>
          </cell>
          <cell r="J10">
            <v>3.4695937119698077</v>
          </cell>
          <cell r="K10">
            <v>3.4695937119698077</v>
          </cell>
          <cell r="L10">
            <v>3.4695937119698077</v>
          </cell>
        </row>
        <row r="18">
          <cell r="D18">
            <v>140</v>
          </cell>
          <cell r="E18">
            <v>130</v>
          </cell>
          <cell r="F18">
            <v>130</v>
          </cell>
          <cell r="J18">
            <v>130</v>
          </cell>
          <cell r="K18">
            <v>130</v>
          </cell>
          <cell r="L18">
            <v>130</v>
          </cell>
        </row>
        <row r="19">
          <cell r="D19">
            <v>0.21435061157088545</v>
          </cell>
          <cell r="E19">
            <v>0.21435061157088545</v>
          </cell>
          <cell r="F19">
            <v>0.21435061157088545</v>
          </cell>
          <cell r="J19">
            <v>0.21435061157088545</v>
          </cell>
          <cell r="K19">
            <v>7.297042096030143E-2</v>
          </cell>
          <cell r="L19">
            <v>7.297042096030143E-2</v>
          </cell>
        </row>
        <row r="23">
          <cell r="D23">
            <v>0</v>
          </cell>
          <cell r="E23">
            <v>0</v>
          </cell>
          <cell r="F23">
            <v>1.5399650133100002</v>
          </cell>
          <cell r="J23">
            <v>0</v>
          </cell>
          <cell r="K23">
            <v>0</v>
          </cell>
          <cell r="L23">
            <v>1.53274406627003</v>
          </cell>
        </row>
        <row r="24">
          <cell r="D24">
            <v>8</v>
          </cell>
          <cell r="E24">
            <v>8.5</v>
          </cell>
          <cell r="F24">
            <v>8.6</v>
          </cell>
          <cell r="J24">
            <v>8</v>
          </cell>
          <cell r="K24">
            <v>8</v>
          </cell>
          <cell r="L24">
            <v>8.5</v>
          </cell>
        </row>
        <row r="25">
          <cell r="D25" t="str">
            <v>JONSWAP</v>
          </cell>
        </row>
        <row r="29">
          <cell r="D29">
            <v>9.81</v>
          </cell>
        </row>
        <row r="30">
          <cell r="D30">
            <v>1025</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11"/>
  <sheetViews>
    <sheetView workbookViewId="0">
      <selection activeCell="D7" sqref="D7"/>
    </sheetView>
  </sheetViews>
  <sheetFormatPr defaultRowHeight="13.2" x14ac:dyDescent="0.25"/>
  <cols>
    <col min="1" max="1" width="126.44140625" customWidth="1"/>
  </cols>
  <sheetData>
    <row r="1" spans="1:1" ht="17.399999999999999" x14ac:dyDescent="0.3">
      <c r="A1" s="480" t="s">
        <v>459</v>
      </c>
    </row>
    <row r="2" spans="1:1" ht="26.4" x14ac:dyDescent="0.25">
      <c r="A2" s="481" t="s">
        <v>460</v>
      </c>
    </row>
    <row r="3" spans="1:1" ht="19.95" customHeight="1" x14ac:dyDescent="0.25">
      <c r="A3" s="481" t="s">
        <v>461</v>
      </c>
    </row>
    <row r="4" spans="1:1" ht="36.450000000000003" customHeight="1" x14ac:dyDescent="0.25">
      <c r="A4" s="481" t="s">
        <v>462</v>
      </c>
    </row>
    <row r="5" spans="1:1" ht="43.95" customHeight="1" x14ac:dyDescent="0.25">
      <c r="A5" s="481" t="s">
        <v>463</v>
      </c>
    </row>
    <row r="6" spans="1:1" ht="16.95" customHeight="1" x14ac:dyDescent="0.25">
      <c r="A6" s="481" t="s">
        <v>464</v>
      </c>
    </row>
    <row r="7" spans="1:1" ht="60.75" customHeight="1" x14ac:dyDescent="0.25">
      <c r="A7" s="481" t="s">
        <v>465</v>
      </c>
    </row>
    <row r="8" spans="1:1" x14ac:dyDescent="0.25">
      <c r="A8" s="481"/>
    </row>
    <row r="9" spans="1:1" ht="17.399999999999999" x14ac:dyDescent="0.3">
      <c r="A9" s="480" t="s">
        <v>466</v>
      </c>
    </row>
    <row r="10" spans="1:1" ht="48.45" customHeight="1" x14ac:dyDescent="0.25">
      <c r="A10" s="481" t="s">
        <v>467</v>
      </c>
    </row>
    <row r="11" spans="1:1" ht="40.200000000000003" customHeight="1" x14ac:dyDescent="0.25">
      <c r="A11" s="481" t="s">
        <v>468</v>
      </c>
    </row>
  </sheetData>
  <phoneticPr fontId="7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V117"/>
  <sheetViews>
    <sheetView workbookViewId="0">
      <selection activeCell="Q26" sqref="Q26"/>
    </sheetView>
  </sheetViews>
  <sheetFormatPr defaultRowHeight="13.2" x14ac:dyDescent="0.25"/>
  <cols>
    <col min="1" max="1" width="27.44140625" customWidth="1"/>
    <col min="2" max="14" width="7.77734375" customWidth="1"/>
    <col min="16" max="16" width="9" bestFit="1" customWidth="1"/>
    <col min="17" max="17" width="9.77734375" bestFit="1" customWidth="1"/>
    <col min="18" max="18" width="9" bestFit="1" customWidth="1"/>
    <col min="20" max="20" width="15" customWidth="1"/>
    <col min="21" max="21" width="12.44140625" bestFit="1" customWidth="1"/>
  </cols>
  <sheetData>
    <row r="1" spans="1:14" ht="21.6" thickBot="1" x14ac:dyDescent="0.45">
      <c r="A1" s="4" t="s">
        <v>370</v>
      </c>
      <c r="B1" s="5"/>
      <c r="C1" s="5"/>
      <c r="D1" s="5"/>
      <c r="E1" s="6"/>
      <c r="F1" s="5"/>
      <c r="G1" s="7"/>
      <c r="H1" s="80"/>
      <c r="I1" s="9"/>
      <c r="J1" s="8"/>
      <c r="L1" s="8"/>
      <c r="M1" s="8"/>
      <c r="N1" s="230"/>
    </row>
    <row r="2" spans="1:14" ht="13.8" thickTop="1" x14ac:dyDescent="0.25">
      <c r="A2" s="10" t="s">
        <v>8</v>
      </c>
      <c r="B2" s="11"/>
      <c r="C2" s="11"/>
      <c r="D2" s="60"/>
      <c r="E2" s="98"/>
      <c r="F2" s="98"/>
      <c r="G2" s="11"/>
      <c r="H2" s="11"/>
      <c r="I2" s="12"/>
      <c r="J2" s="13" t="s">
        <v>9</v>
      </c>
      <c r="K2" s="14"/>
      <c r="L2" s="11"/>
      <c r="M2" s="11"/>
      <c r="N2" s="202"/>
    </row>
    <row r="3" spans="1:14" x14ac:dyDescent="0.25">
      <c r="A3" s="15" t="s">
        <v>10</v>
      </c>
      <c r="B3" s="16" t="s">
        <v>11</v>
      </c>
      <c r="C3" s="17">
        <v>1.0249999999999999</v>
      </c>
      <c r="D3" s="101"/>
      <c r="E3" s="79"/>
      <c r="F3" s="102"/>
      <c r="G3" s="18" t="s">
        <v>12</v>
      </c>
      <c r="H3" s="18"/>
      <c r="I3" s="18"/>
      <c r="J3" s="70">
        <v>1</v>
      </c>
      <c r="K3" s="23">
        <f>IF(J3=1,IF(C17=1,0.7*C70-0.45+0.08*C13,IF(C16=1,C71,G70)),J3)</f>
        <v>0.25574944614123091</v>
      </c>
      <c r="L3" s="113"/>
      <c r="M3" s="112"/>
      <c r="N3" s="204"/>
    </row>
    <row r="4" spans="1:14" x14ac:dyDescent="0.25">
      <c r="A4" s="15" t="s">
        <v>13</v>
      </c>
      <c r="B4" s="16" t="s">
        <v>14</v>
      </c>
      <c r="C4" s="20">
        <f>'Ship data'!C6</f>
        <v>69.39316773984396</v>
      </c>
      <c r="D4" s="103"/>
      <c r="E4" s="79"/>
      <c r="F4" s="102"/>
      <c r="G4" s="18" t="s">
        <v>15</v>
      </c>
      <c r="H4" s="18"/>
      <c r="I4" s="18"/>
      <c r="J4" s="71">
        <v>1</v>
      </c>
      <c r="K4" s="19">
        <f>IF(J4=1,IF(C17=1,E70-0.26+0.04*C13,IF(C16=1,E71,G71)),J4)</f>
        <v>0.22553741549667311</v>
      </c>
      <c r="L4" s="112"/>
      <c r="M4" s="112"/>
      <c r="N4" s="204"/>
    </row>
    <row r="5" spans="1:14" x14ac:dyDescent="0.25">
      <c r="A5" s="15" t="s">
        <v>16</v>
      </c>
      <c r="B5" s="16" t="s">
        <v>14</v>
      </c>
      <c r="C5" s="20">
        <f>'Ship data'!C7</f>
        <v>12.098035159762397</v>
      </c>
      <c r="D5" s="103"/>
      <c r="E5" s="79"/>
      <c r="F5" s="102"/>
      <c r="G5" s="18" t="s">
        <v>17</v>
      </c>
      <c r="H5" s="18"/>
      <c r="I5" s="18"/>
      <c r="J5" s="22"/>
      <c r="K5" s="19">
        <f>(1-K4)/(1-K3)</f>
        <v>1.0405938974286484</v>
      </c>
      <c r="L5" s="112"/>
      <c r="M5" s="112"/>
      <c r="N5" s="204"/>
    </row>
    <row r="6" spans="1:14" x14ac:dyDescent="0.25">
      <c r="A6" s="15" t="s">
        <v>18</v>
      </c>
      <c r="B6" s="16" t="s">
        <v>14</v>
      </c>
      <c r="C6" s="20">
        <f>'Ship data'!C12</f>
        <v>4.4898974114147832</v>
      </c>
      <c r="D6" s="104"/>
      <c r="E6" s="105"/>
      <c r="F6" s="102"/>
      <c r="G6" s="18" t="s">
        <v>19</v>
      </c>
      <c r="H6" s="18"/>
      <c r="I6" s="18"/>
      <c r="K6" s="19">
        <f>'Ship data'!C49/100</f>
        <v>0.98</v>
      </c>
      <c r="L6" s="112"/>
      <c r="M6" s="112"/>
      <c r="N6" s="204"/>
    </row>
    <row r="7" spans="1:14" x14ac:dyDescent="0.25">
      <c r="A7" s="15" t="s">
        <v>20</v>
      </c>
      <c r="B7" s="16" t="s">
        <v>21</v>
      </c>
      <c r="C7" s="24">
        <f>'Ship data'!C21</f>
        <v>3020.9727921305375</v>
      </c>
      <c r="D7" s="103"/>
      <c r="E7" s="79"/>
      <c r="F7" s="102"/>
      <c r="G7" s="18" t="s">
        <v>22</v>
      </c>
      <c r="H7" s="18"/>
      <c r="I7" s="18"/>
      <c r="K7" s="25">
        <v>1</v>
      </c>
      <c r="L7" s="112"/>
      <c r="M7" s="112"/>
      <c r="N7" s="204"/>
    </row>
    <row r="8" spans="1:14" x14ac:dyDescent="0.25">
      <c r="A8" s="15" t="s">
        <v>23</v>
      </c>
      <c r="B8" s="16" t="s">
        <v>24</v>
      </c>
      <c r="C8" s="24">
        <f>'Ship data'!C34</f>
        <v>1235.9226634083334</v>
      </c>
      <c r="D8" s="103"/>
      <c r="E8" s="79"/>
      <c r="F8" s="102"/>
      <c r="G8" s="27" t="s">
        <v>25</v>
      </c>
      <c r="H8" s="28"/>
      <c r="I8" s="28"/>
      <c r="J8" s="28"/>
      <c r="K8" s="95"/>
      <c r="L8" s="96"/>
      <c r="M8" s="217" t="s">
        <v>167</v>
      </c>
      <c r="N8" s="97">
        <f>'Ship data'!C35</f>
        <v>13.172490532473214</v>
      </c>
    </row>
    <row r="9" spans="1:14" x14ac:dyDescent="0.25">
      <c r="A9" s="15" t="s">
        <v>26</v>
      </c>
      <c r="B9" s="16" t="s">
        <v>24</v>
      </c>
      <c r="C9" s="24">
        <f>IF(C8=0,(1.08+(C16-1)*0.05-0.009*C5/C6)*(C7/C3/C6+1.65*C4*C6),C8)</f>
        <v>1235.9226634083334</v>
      </c>
      <c r="D9" s="104"/>
      <c r="E9" s="79"/>
      <c r="F9" s="102"/>
      <c r="G9" s="30" t="s">
        <v>27</v>
      </c>
      <c r="H9" s="30"/>
      <c r="I9" s="30"/>
      <c r="J9" s="31">
        <v>0.32</v>
      </c>
      <c r="K9" s="32" t="str">
        <f>IF(J9&gt;0.32,"Too high"," ")</f>
        <v xml:space="preserve"> </v>
      </c>
      <c r="L9" s="112"/>
      <c r="M9" s="112"/>
      <c r="N9" s="204"/>
    </row>
    <row r="10" spans="1:14" x14ac:dyDescent="0.25">
      <c r="A10" s="15" t="s">
        <v>4</v>
      </c>
      <c r="B10" s="16" t="s">
        <v>28</v>
      </c>
      <c r="C10" s="17">
        <f>'Ship data'!C29</f>
        <v>0.995</v>
      </c>
      <c r="D10" s="103"/>
      <c r="E10" s="79"/>
      <c r="F10" s="102"/>
      <c r="G10" s="33" t="s">
        <v>29</v>
      </c>
      <c r="H10" s="33"/>
      <c r="I10" s="33"/>
      <c r="J10" s="21">
        <v>1</v>
      </c>
      <c r="K10" s="34" t="str">
        <f>IF(J10&lt;0.9,"Too low"," ")</f>
        <v xml:space="preserve"> </v>
      </c>
      <c r="L10" s="112"/>
      <c r="M10" s="112"/>
      <c r="N10" s="204"/>
    </row>
    <row r="11" spans="1:14" x14ac:dyDescent="0.25">
      <c r="A11" s="15" t="s">
        <v>30</v>
      </c>
      <c r="B11" s="16" t="s">
        <v>28</v>
      </c>
      <c r="C11" s="17">
        <f>C7/C3/C4/C5/C6</f>
        <v>0.78190677289816124</v>
      </c>
      <c r="D11" s="103"/>
      <c r="E11" s="79"/>
      <c r="F11" s="102"/>
      <c r="G11" s="63" t="s">
        <v>124</v>
      </c>
      <c r="H11" s="63"/>
      <c r="I11" s="63"/>
      <c r="J11" s="64"/>
      <c r="K11" s="114">
        <v>0</v>
      </c>
      <c r="L11" s="112"/>
      <c r="M11" s="112"/>
      <c r="N11" s="204"/>
    </row>
    <row r="12" spans="1:14" x14ac:dyDescent="0.25">
      <c r="A12" s="15" t="s">
        <v>31</v>
      </c>
      <c r="B12" s="16" t="s">
        <v>28</v>
      </c>
      <c r="C12" s="17">
        <f>C11/C10</f>
        <v>0.78583595266146855</v>
      </c>
      <c r="D12" s="106"/>
      <c r="E12" s="78"/>
      <c r="F12" s="102"/>
      <c r="G12" s="66" t="s">
        <v>125</v>
      </c>
      <c r="H12" s="65"/>
      <c r="I12" s="66"/>
      <c r="J12" s="62"/>
      <c r="K12" s="61">
        <v>15</v>
      </c>
      <c r="L12" s="112"/>
      <c r="M12" s="112"/>
      <c r="N12" s="204"/>
    </row>
    <row r="13" spans="1:14" x14ac:dyDescent="0.25">
      <c r="A13" s="15" t="s">
        <v>32</v>
      </c>
      <c r="B13" s="16" t="s">
        <v>28</v>
      </c>
      <c r="C13" s="20">
        <f>C4/(C7/C3)^(1/3)</f>
        <v>4.8399669600885336</v>
      </c>
      <c r="D13" s="106" t="str">
        <f>IF(OR(C13&lt;4,C13&gt;9)," Warning: Length-displ. ratio out of range !","")</f>
        <v/>
      </c>
      <c r="E13" s="78"/>
      <c r="F13" s="102"/>
      <c r="G13" s="66" t="s">
        <v>126</v>
      </c>
      <c r="H13" s="66"/>
      <c r="I13" s="66"/>
      <c r="J13" s="62"/>
      <c r="K13" s="61">
        <v>1</v>
      </c>
      <c r="L13" s="112"/>
      <c r="M13" s="112"/>
      <c r="N13" s="204"/>
    </row>
    <row r="14" spans="1:14" x14ac:dyDescent="0.25">
      <c r="A14" s="15" t="s">
        <v>33</v>
      </c>
      <c r="B14" s="16" t="s">
        <v>28</v>
      </c>
      <c r="C14" s="36">
        <v>0</v>
      </c>
      <c r="D14" s="106"/>
      <c r="E14" s="78"/>
      <c r="F14" s="102"/>
      <c r="G14" s="66" t="s">
        <v>130</v>
      </c>
      <c r="H14" s="66"/>
      <c r="I14" s="66"/>
      <c r="J14" s="62"/>
      <c r="K14" s="114">
        <f>'Ship data'!C68</f>
        <v>1</v>
      </c>
      <c r="L14" s="111"/>
      <c r="M14" s="111"/>
      <c r="N14" s="206"/>
    </row>
    <row r="15" spans="1:14" x14ac:dyDescent="0.25">
      <c r="A15" s="15" t="s">
        <v>34</v>
      </c>
      <c r="B15" s="16" t="s">
        <v>28</v>
      </c>
      <c r="C15" s="36">
        <v>0</v>
      </c>
      <c r="D15" s="107"/>
      <c r="E15" s="108"/>
      <c r="F15" s="79"/>
      <c r="G15" s="406" t="s">
        <v>397</v>
      </c>
      <c r="H15" s="407"/>
      <c r="I15" s="407"/>
      <c r="J15" s="407"/>
      <c r="K15" s="408">
        <f>'Ship data'!C50</f>
        <v>0</v>
      </c>
      <c r="L15" s="111"/>
      <c r="M15" s="111"/>
      <c r="N15" s="206"/>
    </row>
    <row r="16" spans="1:14" x14ac:dyDescent="0.25">
      <c r="A16" s="15" t="s">
        <v>35</v>
      </c>
      <c r="B16" s="16" t="s">
        <v>28</v>
      </c>
      <c r="C16" s="26">
        <v>1</v>
      </c>
      <c r="D16" s="109" t="str">
        <f>IF(OR(C4/C5&lt;3.5,C4/C5&gt;10)," Warning: L/B out of range !","")</f>
        <v/>
      </c>
      <c r="E16" s="110"/>
      <c r="F16" s="110"/>
      <c r="G16" s="110"/>
      <c r="H16" s="110"/>
      <c r="I16" s="133"/>
      <c r="J16" s="134"/>
      <c r="K16" s="110"/>
      <c r="L16" s="111"/>
      <c r="M16" s="111"/>
      <c r="N16" s="206"/>
    </row>
    <row r="17" spans="1:22" x14ac:dyDescent="0.25">
      <c r="A17" s="15" t="s">
        <v>36</v>
      </c>
      <c r="B17" s="16" t="s">
        <v>28</v>
      </c>
      <c r="C17" s="26">
        <v>1</v>
      </c>
      <c r="D17" s="109" t="str">
        <f>IF(C5/C6&gt;6.5,"  Warning: B/T out of range !","")</f>
        <v/>
      </c>
      <c r="E17" s="110"/>
      <c r="F17" s="110"/>
      <c r="G17" s="110"/>
      <c r="H17" s="110"/>
      <c r="I17" s="133"/>
      <c r="J17" s="134"/>
      <c r="K17" s="110"/>
      <c r="L17" s="111"/>
      <c r="M17" s="111"/>
      <c r="N17" s="206"/>
    </row>
    <row r="18" spans="1:22" x14ac:dyDescent="0.25">
      <c r="A18" s="15" t="s">
        <v>37</v>
      </c>
      <c r="B18" s="16" t="s">
        <v>14</v>
      </c>
      <c r="C18" s="20">
        <f>'Ship data'!C70</f>
        <v>3.0735094775088392</v>
      </c>
      <c r="D18" s="99">
        <f>C18/C6</f>
        <v>0.68453890944033069</v>
      </c>
      <c r="E18" s="100" t="s">
        <v>163</v>
      </c>
      <c r="F18" s="215"/>
      <c r="G18" s="110"/>
      <c r="H18" s="110"/>
      <c r="I18" s="133"/>
      <c r="J18" s="134"/>
      <c r="K18" s="110"/>
      <c r="L18" s="111"/>
      <c r="M18" s="111"/>
      <c r="N18" s="206"/>
    </row>
    <row r="19" spans="1:22" ht="13.8" thickBot="1" x14ac:dyDescent="0.3">
      <c r="A19" s="18" t="s">
        <v>38</v>
      </c>
      <c r="B19" s="37" t="s">
        <v>28</v>
      </c>
      <c r="C19" s="24">
        <v>4</v>
      </c>
      <c r="D19" s="111"/>
      <c r="E19" s="108"/>
      <c r="F19" s="108"/>
      <c r="G19" s="110"/>
      <c r="H19" s="110"/>
      <c r="I19" s="133"/>
      <c r="J19" s="134"/>
      <c r="K19" s="110"/>
      <c r="L19" s="111"/>
      <c r="M19" s="111"/>
      <c r="N19" s="206"/>
    </row>
    <row r="20" spans="1:22" ht="14.4" thickTop="1" thickBot="1" x14ac:dyDescent="0.3">
      <c r="A20" s="10" t="s">
        <v>39</v>
      </c>
      <c r="B20" s="38"/>
      <c r="C20" s="11"/>
      <c r="D20" s="11"/>
      <c r="E20" s="11"/>
      <c r="F20" s="11"/>
      <c r="G20" s="11"/>
      <c r="H20" s="11"/>
      <c r="I20" s="11"/>
      <c r="J20" s="11"/>
      <c r="K20" s="11"/>
      <c r="L20" s="11"/>
      <c r="M20" s="11"/>
      <c r="N20" s="231"/>
    </row>
    <row r="21" spans="1:22" x14ac:dyDescent="0.25">
      <c r="A21" s="39" t="s">
        <v>40</v>
      </c>
      <c r="B21" s="40" t="s">
        <v>41</v>
      </c>
      <c r="C21" s="85">
        <f>(C22*(9.81*C4)^0.5)/0.5144</f>
        <v>6.0865773619557171</v>
      </c>
      <c r="D21" s="41">
        <f>E21-0.5</f>
        <v>10.172490532473214</v>
      </c>
      <c r="E21" s="41">
        <f>F21-0.5</f>
        <v>10.672490532473214</v>
      </c>
      <c r="F21" s="41">
        <f>G21-0.5</f>
        <v>11.172490532473214</v>
      </c>
      <c r="G21" s="41">
        <f>H21-0.5</f>
        <v>11.672490532473214</v>
      </c>
      <c r="H21" s="86">
        <f>I21-MAX(1,'Ship data'!C45/10)</f>
        <v>12.172490532473214</v>
      </c>
      <c r="I21" s="86">
        <f>J21-MAX(1,'Ship data'!C45/10)</f>
        <v>13.172490532473214</v>
      </c>
      <c r="J21" s="86">
        <f>N8+MAX(1,'Ship data'!C45/5)</f>
        <v>14.172490532473214</v>
      </c>
      <c r="K21" s="156">
        <f>L21-0.05</f>
        <v>12.918085356001084</v>
      </c>
      <c r="L21" s="156">
        <f>R26</f>
        <v>12.968085356001085</v>
      </c>
      <c r="M21" s="156">
        <f>L21+0.05</f>
        <v>13.018085356001086</v>
      </c>
      <c r="N21" s="251">
        <f>N22*SQRT(9.81*C4)/0.5144</f>
        <v>16.230872965215244</v>
      </c>
    </row>
    <row r="22" spans="1:22" x14ac:dyDescent="0.25">
      <c r="A22" s="15" t="s">
        <v>42</v>
      </c>
      <c r="B22" s="16" t="s">
        <v>28</v>
      </c>
      <c r="C22" s="87">
        <v>0.12</v>
      </c>
      <c r="D22" s="42">
        <f t="shared" ref="D22:M22" si="0">D21*0.5144/SQRT(9.81*$C4)</f>
        <v>0.200555877516121</v>
      </c>
      <c r="E22" s="42">
        <f t="shared" si="0"/>
        <v>0.21041363441822353</v>
      </c>
      <c r="F22" s="42">
        <f t="shared" si="0"/>
        <v>0.22027139132032608</v>
      </c>
      <c r="G22" s="42">
        <f t="shared" si="0"/>
        <v>0.23012914822242861</v>
      </c>
      <c r="H22" s="88">
        <f t="shared" si="0"/>
        <v>0.23998690512453114</v>
      </c>
      <c r="I22" s="88">
        <f t="shared" si="0"/>
        <v>0.25970241892873619</v>
      </c>
      <c r="J22" s="88">
        <f t="shared" si="0"/>
        <v>0.27941793273294124</v>
      </c>
      <c r="K22" s="118">
        <f t="shared" si="0"/>
        <v>0.25468669016013873</v>
      </c>
      <c r="L22" s="118">
        <f t="shared" si="0"/>
        <v>0.25567246585034897</v>
      </c>
      <c r="M22" s="118">
        <f t="shared" si="0"/>
        <v>0.25665824154055922</v>
      </c>
      <c r="N22" s="237">
        <f>J9</f>
        <v>0.32</v>
      </c>
    </row>
    <row r="23" spans="1:22" x14ac:dyDescent="0.25">
      <c r="A23" s="15" t="s">
        <v>43</v>
      </c>
      <c r="B23" s="16" t="s">
        <v>28</v>
      </c>
      <c r="C23" s="88">
        <f t="shared" ref="C23:N23" si="1">75/(LOG10(C21*0.5144*$C4*1000000/((43.4233-31.38*$C3)*($K12+20)^(1.72*$C3-2.202)+4.7478-5.779*$C3))-2)^2</f>
        <v>1.9126129181791665</v>
      </c>
      <c r="D23" s="42">
        <f t="shared" si="1"/>
        <v>1.7833076597966899</v>
      </c>
      <c r="E23" s="42">
        <f t="shared" si="1"/>
        <v>1.771902127866017</v>
      </c>
      <c r="F23" s="42">
        <f t="shared" si="1"/>
        <v>1.7611206080054687</v>
      </c>
      <c r="G23" s="42">
        <f t="shared" si="1"/>
        <v>1.7509029567807526</v>
      </c>
      <c r="H23" s="88">
        <f t="shared" si="1"/>
        <v>1.7411971132131978</v>
      </c>
      <c r="I23" s="88">
        <f t="shared" si="1"/>
        <v>1.7231450841053335</v>
      </c>
      <c r="J23" s="88">
        <f t="shared" si="1"/>
        <v>1.7066640889162894</v>
      </c>
      <c r="K23" s="118">
        <f t="shared" si="1"/>
        <v>1.7275779994363714</v>
      </c>
      <c r="L23" s="118">
        <f t="shared" si="1"/>
        <v>1.726698557742989</v>
      </c>
      <c r="M23" s="118">
        <f t="shared" si="1"/>
        <v>1.7258231678192673</v>
      </c>
      <c r="N23" s="238">
        <f t="shared" si="1"/>
        <v>1.6767381901925182</v>
      </c>
    </row>
    <row r="24" spans="1:22" x14ac:dyDescent="0.25">
      <c r="A24" s="15" t="s">
        <v>44</v>
      </c>
      <c r="B24" s="16" t="s">
        <v>28</v>
      </c>
      <c r="C24" s="88">
        <f>IF(C22&gt;0.12,C45,$C45+(C22-0.12)*2.5)</f>
        <v>0.67351412501459762</v>
      </c>
      <c r="D24" s="135">
        <f t="shared" ref="D24:M24" si="2">D45</f>
        <v>1.4417269081799344</v>
      </c>
      <c r="E24" s="135">
        <f t="shared" si="2"/>
        <v>1.6488381115764674</v>
      </c>
      <c r="F24" s="135">
        <f t="shared" si="2"/>
        <v>1.9178442106222422</v>
      </c>
      <c r="G24" s="135">
        <f t="shared" si="2"/>
        <v>2.2849600284533125</v>
      </c>
      <c r="H24" s="88">
        <f t="shared" si="2"/>
        <v>2.8040763192299236</v>
      </c>
      <c r="I24" s="88">
        <f t="shared" si="2"/>
        <v>4.6314101957255298</v>
      </c>
      <c r="J24" s="88">
        <f t="shared" si="2"/>
        <v>8.3795051041994117</v>
      </c>
      <c r="K24" s="136">
        <f t="shared" si="2"/>
        <v>4.0327182390824854</v>
      </c>
      <c r="L24" s="136">
        <f t="shared" si="2"/>
        <v>4.1417745257801206</v>
      </c>
      <c r="M24" s="136">
        <f t="shared" si="2"/>
        <v>4.2548940185876871</v>
      </c>
      <c r="N24" s="240">
        <f>IF(N22&gt;0.12,N45,$C45+(N22-0.12)*$C45/0.12)</f>
        <v>30.053613949129804</v>
      </c>
      <c r="O24" s="551" t="s">
        <v>482</v>
      </c>
    </row>
    <row r="25" spans="1:22" ht="13.8" thickBot="1" x14ac:dyDescent="0.3">
      <c r="A25" s="15" t="s">
        <v>45</v>
      </c>
      <c r="B25" s="16" t="s">
        <v>28</v>
      </c>
      <c r="C25" s="88">
        <f t="shared" ref="C25:N25" si="3">IF($C17=1,0,0.3)</f>
        <v>0</v>
      </c>
      <c r="D25" s="42">
        <f t="shared" si="3"/>
        <v>0</v>
      </c>
      <c r="E25" s="42">
        <f t="shared" si="3"/>
        <v>0</v>
      </c>
      <c r="F25" s="42">
        <f t="shared" si="3"/>
        <v>0</v>
      </c>
      <c r="G25" s="42">
        <f t="shared" si="3"/>
        <v>0</v>
      </c>
      <c r="H25" s="88">
        <f t="shared" si="3"/>
        <v>0</v>
      </c>
      <c r="I25" s="88">
        <f t="shared" si="3"/>
        <v>0</v>
      </c>
      <c r="J25" s="88">
        <f t="shared" si="3"/>
        <v>0</v>
      </c>
      <c r="K25" s="118">
        <f t="shared" si="3"/>
        <v>0</v>
      </c>
      <c r="L25" s="118">
        <f t="shared" si="3"/>
        <v>0</v>
      </c>
      <c r="M25" s="118">
        <f t="shared" si="3"/>
        <v>0</v>
      </c>
      <c r="N25" s="238">
        <f t="shared" si="3"/>
        <v>0</v>
      </c>
    </row>
    <row r="26" spans="1:22" ht="13.8" thickBot="1" x14ac:dyDescent="0.3">
      <c r="A26" s="15" t="s">
        <v>46</v>
      </c>
      <c r="B26" s="16" t="s">
        <v>28</v>
      </c>
      <c r="C26" s="212">
        <f t="shared" ref="C26:N26" si="4">$K13*MAX(-0.4,-0.1-1.6*C22)</f>
        <v>-0.29200000000000004</v>
      </c>
      <c r="D26" s="213">
        <f t="shared" si="4"/>
        <v>-0.4</v>
      </c>
      <c r="E26" s="213">
        <f t="shared" si="4"/>
        <v>-0.4</v>
      </c>
      <c r="F26" s="213">
        <f t="shared" si="4"/>
        <v>-0.4</v>
      </c>
      <c r="G26" s="213">
        <f t="shared" si="4"/>
        <v>-0.4</v>
      </c>
      <c r="H26" s="212">
        <f t="shared" si="4"/>
        <v>-0.4</v>
      </c>
      <c r="I26" s="212">
        <f t="shared" si="4"/>
        <v>-0.4</v>
      </c>
      <c r="J26" s="212">
        <f t="shared" si="4"/>
        <v>-0.4</v>
      </c>
      <c r="K26" s="214">
        <f t="shared" si="4"/>
        <v>-0.4</v>
      </c>
      <c r="L26" s="214">
        <f t="shared" si="4"/>
        <v>-0.4</v>
      </c>
      <c r="M26" s="214">
        <f t="shared" si="4"/>
        <v>-0.4</v>
      </c>
      <c r="N26" s="240">
        <f t="shared" si="4"/>
        <v>-0.4</v>
      </c>
      <c r="P26" s="124" t="s">
        <v>164</v>
      </c>
      <c r="Q26" s="125">
        <f>'Ship data'!C62*0.75</f>
        <v>2094.172884278496</v>
      </c>
      <c r="R26" s="234">
        <f>R27*R28*Q29-R27*R29*Q28+R28*R29*Q27</f>
        <v>12.968085356001085</v>
      </c>
    </row>
    <row r="27" spans="1:22" x14ac:dyDescent="0.25">
      <c r="A27" s="15" t="s">
        <v>47</v>
      </c>
      <c r="B27" s="16" t="s">
        <v>28</v>
      </c>
      <c r="C27" s="262">
        <f>IF('Ship data'!$C3&lt;55000,0.07,IF('Ship data'!$C3&lt;170000,0.05,0.04))</f>
        <v>7.0000000000000007E-2</v>
      </c>
      <c r="D27" s="213">
        <f>IF('Ship data'!$C3&lt;55000,0.07,IF('Ship data'!$C3&lt;170000,0.05,0.04))</f>
        <v>7.0000000000000007E-2</v>
      </c>
      <c r="E27" s="213">
        <f>IF('Ship data'!$C3&lt;55000,0.07,IF('Ship data'!$C3&lt;170000,0.05,0.04))</f>
        <v>7.0000000000000007E-2</v>
      </c>
      <c r="F27" s="213">
        <f>IF('Ship data'!$C3&lt;55000,0.07,IF('Ship data'!$C3&lt;170000,0.05,0.04))</f>
        <v>7.0000000000000007E-2</v>
      </c>
      <c r="G27" s="213">
        <f>IF('Ship data'!$C3&lt;55000,0.07,IF('Ship data'!$C3&lt;170000,0.05,0.04))</f>
        <v>7.0000000000000007E-2</v>
      </c>
      <c r="H27" s="212">
        <f>IF('Ship data'!$C3&lt;55000,0.07,IF('Ship data'!$C3&lt;170000,0.05,0.04))</f>
        <v>7.0000000000000007E-2</v>
      </c>
      <c r="I27" s="212">
        <f>IF('Ship data'!$C3&lt;55000,0.07,IF('Ship data'!$C3&lt;170000,0.05,0.04))</f>
        <v>7.0000000000000007E-2</v>
      </c>
      <c r="J27" s="212">
        <f>IF('Ship data'!$C3&lt;55000,0.07,IF('Ship data'!$C3&lt;170000,0.05,0.04))</f>
        <v>7.0000000000000007E-2</v>
      </c>
      <c r="K27" s="214">
        <f>IF('Ship data'!$C3&lt;55000,0.07,IF('Ship data'!$C3&lt;170000,0.05,0.04))</f>
        <v>7.0000000000000007E-2</v>
      </c>
      <c r="L27" s="214">
        <f>IF('Ship data'!$C3&lt;55000,0.07,IF('Ship data'!$C3&lt;170000,0.05,0.04))</f>
        <v>7.0000000000000007E-2</v>
      </c>
      <c r="M27" s="214">
        <f>IF('Ship data'!$C3&lt;55000,0.07,IF('Ship data'!$C3&lt;170000,0.05,0.04))</f>
        <v>7.0000000000000007E-2</v>
      </c>
      <c r="N27" s="240">
        <f>IF('Ship data'!$C3&lt;55000,0.07,IF('Ship data'!$C3&lt;170000,0.05,0.04))</f>
        <v>7.0000000000000007E-2</v>
      </c>
      <c r="P27" s="127">
        <f>H35-I35</f>
        <v>-1118.2879947487806</v>
      </c>
      <c r="Q27" s="128">
        <f>H21/P27/P28</f>
        <v>2.6744172985289128E-6</v>
      </c>
      <c r="R27" s="129">
        <f>Q26-H35</f>
        <v>855.38370176065087</v>
      </c>
    </row>
    <row r="28" spans="1:22" x14ac:dyDescent="0.25">
      <c r="A28" s="15" t="s">
        <v>48</v>
      </c>
      <c r="B28" s="16" t="s">
        <v>28</v>
      </c>
      <c r="C28" s="87">
        <f>MAX(0.5*LOG10($C7)-0.1*(LOG10($C7))^2,'PS1'!$K19)</f>
        <v>0.52893122232160183</v>
      </c>
      <c r="D28" s="350">
        <f>MAX(0.5*LOG10($C7)-0.1*(LOG10($C7))^2,'PS1'!$K19)</f>
        <v>0.52893122232160183</v>
      </c>
      <c r="E28" s="350">
        <f>MAX(0.5*LOG10($C7)-0.1*(LOG10($C7))^2,'PS1'!$K19)</f>
        <v>0.52893122232160183</v>
      </c>
      <c r="F28" s="350">
        <f>MAX(0.5*LOG10($C7)-0.1*(LOG10($C7))^2,'PS1'!$K19)</f>
        <v>0.52893122232160183</v>
      </c>
      <c r="G28" s="350">
        <f>MAX(0.5*LOG10($C7)-0.1*(LOG10($C7))^2,'PS1'!$K19)</f>
        <v>0.52893122232160183</v>
      </c>
      <c r="H28" s="212">
        <f>MAX(0.5*LOG10($C7)-0.1*(LOG10($C7))^2,'PS1'!$K19)</f>
        <v>0.52893122232160183</v>
      </c>
      <c r="I28" s="212">
        <f>MAX(0.5*LOG10($C7)-0.1*(LOG10($C7))^2,'PS1'!$K19)</f>
        <v>0.52893122232160183</v>
      </c>
      <c r="J28" s="212">
        <f>MAX(0.5*LOG10($C7)-0.1*(LOG10($C7))^2,'PS1'!$K19)</f>
        <v>0.52893122232160183</v>
      </c>
      <c r="K28" s="214">
        <f>MAX(0.5*LOG10($C7)-0.1*(LOG10($C7))^2,'PS1'!$K19)</f>
        <v>0.52893122232160183</v>
      </c>
      <c r="L28" s="214">
        <f>MAX(0.5*LOG10($C7)-0.1*(LOG10($C7))^2,'PS1'!$K19)</f>
        <v>0.52893122232160183</v>
      </c>
      <c r="M28" s="214">
        <f>MAX(0.5*LOG10($C7)-0.1*(LOG10($C7))^2,'PS1'!$K19)</f>
        <v>0.52893122232160183</v>
      </c>
      <c r="N28" s="240">
        <f>MAX(0.5*LOG10($C7)-0.1*(LOG10($C7))^2,'PS1'!$K19)</f>
        <v>0.52893122232160183</v>
      </c>
      <c r="P28" s="127">
        <f>H35-J35</f>
        <v>-4070.0206260838859</v>
      </c>
      <c r="Q28" s="128">
        <f>I21/P27/P29</f>
        <v>3.9905909753068508E-6</v>
      </c>
      <c r="R28" s="129">
        <f>Q26-I35</f>
        <v>-262.90429298812978</v>
      </c>
    </row>
    <row r="29" spans="1:22" ht="13.8" thickBot="1" x14ac:dyDescent="0.3">
      <c r="A29" s="15" t="s">
        <v>49</v>
      </c>
      <c r="B29" s="16" t="s">
        <v>28</v>
      </c>
      <c r="C29" s="88">
        <f t="shared" ref="C29:N29" si="5">C23+C24+C25+C26+C27+C28</f>
        <v>2.8930582655153652</v>
      </c>
      <c r="D29" s="42">
        <f t="shared" si="5"/>
        <v>3.4239657902982259</v>
      </c>
      <c r="E29" s="42">
        <f t="shared" si="5"/>
        <v>3.6196714617640859</v>
      </c>
      <c r="F29" s="42">
        <f t="shared" si="5"/>
        <v>3.8778960409493131</v>
      </c>
      <c r="G29" s="42">
        <f t="shared" si="5"/>
        <v>4.2347942075556668</v>
      </c>
      <c r="H29" s="88">
        <f t="shared" si="5"/>
        <v>4.7442046547647232</v>
      </c>
      <c r="I29" s="88">
        <f t="shared" si="5"/>
        <v>6.5534865021524658</v>
      </c>
      <c r="J29" s="88">
        <f t="shared" si="5"/>
        <v>10.285100415437302</v>
      </c>
      <c r="K29" s="118">
        <f t="shared" si="5"/>
        <v>5.9592274608404585</v>
      </c>
      <c r="L29" s="118">
        <f t="shared" si="5"/>
        <v>6.067404305844712</v>
      </c>
      <c r="M29" s="118">
        <f t="shared" si="5"/>
        <v>6.1796484087285561</v>
      </c>
      <c r="N29" s="237">
        <f t="shared" si="5"/>
        <v>31.929283361643929</v>
      </c>
      <c r="P29" s="130">
        <f>I35-J35</f>
        <v>-2951.732631335105</v>
      </c>
      <c r="Q29" s="131">
        <f>J21/P28/P29</f>
        <v>1.1797026336343261E-6</v>
      </c>
      <c r="R29" s="132">
        <f>Q26-J35</f>
        <v>-3214.6369243232348</v>
      </c>
    </row>
    <row r="30" spans="1:22" x14ac:dyDescent="0.25">
      <c r="A30" s="15" t="s">
        <v>50</v>
      </c>
      <c r="B30" s="16" t="s">
        <v>51</v>
      </c>
      <c r="C30" s="89">
        <f t="shared" ref="C30:N30" si="6">$K11</f>
        <v>0</v>
      </c>
      <c r="D30" s="43">
        <f t="shared" si="6"/>
        <v>0</v>
      </c>
      <c r="E30" s="43">
        <f t="shared" si="6"/>
        <v>0</v>
      </c>
      <c r="F30" s="43">
        <f t="shared" si="6"/>
        <v>0</v>
      </c>
      <c r="G30" s="43">
        <f t="shared" si="6"/>
        <v>0</v>
      </c>
      <c r="H30" s="89">
        <f t="shared" si="6"/>
        <v>0</v>
      </c>
      <c r="I30" s="89">
        <f t="shared" si="6"/>
        <v>0</v>
      </c>
      <c r="J30" s="89">
        <f t="shared" si="6"/>
        <v>0</v>
      </c>
      <c r="K30" s="119">
        <f t="shared" si="6"/>
        <v>0</v>
      </c>
      <c r="L30" s="119">
        <f t="shared" si="6"/>
        <v>0</v>
      </c>
      <c r="M30" s="119">
        <f t="shared" si="6"/>
        <v>0</v>
      </c>
      <c r="N30" s="242">
        <f t="shared" si="6"/>
        <v>0</v>
      </c>
    </row>
    <row r="31" spans="1:22" x14ac:dyDescent="0.25">
      <c r="A31" s="15" t="s">
        <v>52</v>
      </c>
      <c r="B31" s="16" t="s">
        <v>53</v>
      </c>
      <c r="C31" s="90">
        <v>0</v>
      </c>
      <c r="D31" s="44">
        <v>0</v>
      </c>
      <c r="E31" s="44">
        <v>0</v>
      </c>
      <c r="F31" s="44">
        <v>0</v>
      </c>
      <c r="G31" s="44">
        <v>0</v>
      </c>
      <c r="H31" s="90">
        <v>0</v>
      </c>
      <c r="I31" s="90">
        <v>0</v>
      </c>
      <c r="J31" s="90">
        <v>0</v>
      </c>
      <c r="K31" s="120">
        <v>0</v>
      </c>
      <c r="L31" s="120">
        <v>0</v>
      </c>
      <c r="M31" s="120">
        <v>0</v>
      </c>
      <c r="N31" s="244">
        <v>0</v>
      </c>
    </row>
    <row r="32" spans="1:22" x14ac:dyDescent="0.25">
      <c r="A32" s="15" t="s">
        <v>54</v>
      </c>
      <c r="B32" s="16" t="s">
        <v>53</v>
      </c>
      <c r="C32" s="91">
        <f t="shared" ref="C32:N32" si="7">$C9*$C3*C29*C21^2*0.0001323*(1+C30/100)+C31</f>
        <v>17.96298382132839</v>
      </c>
      <c r="D32" s="45">
        <f t="shared" si="7"/>
        <v>59.382572984142371</v>
      </c>
      <c r="E32" s="45">
        <f t="shared" si="7"/>
        <v>69.099629029624396</v>
      </c>
      <c r="F32" s="45">
        <f t="shared" si="7"/>
        <v>81.12807263974193</v>
      </c>
      <c r="G32" s="45">
        <f t="shared" si="7"/>
        <v>96.701759616368676</v>
      </c>
      <c r="H32" s="91">
        <f t="shared" si="7"/>
        <v>117.81411135219047</v>
      </c>
      <c r="I32" s="91">
        <f t="shared" si="7"/>
        <v>190.58258142329134</v>
      </c>
      <c r="J32" s="91">
        <f t="shared" si="7"/>
        <v>346.23892675064695</v>
      </c>
      <c r="K32" s="121">
        <f t="shared" si="7"/>
        <v>166.67147077461237</v>
      </c>
      <c r="L32" s="121">
        <f t="shared" si="7"/>
        <v>171.01321112643151</v>
      </c>
      <c r="M32" s="121">
        <f t="shared" si="7"/>
        <v>175.52258315992958</v>
      </c>
      <c r="N32" s="263">
        <f t="shared" si="7"/>
        <v>1409.7689273226017</v>
      </c>
      <c r="T32" s="1"/>
      <c r="U32" s="1"/>
      <c r="V32" s="1"/>
    </row>
    <row r="33" spans="1:20" x14ac:dyDescent="0.25">
      <c r="A33" s="15" t="s">
        <v>55</v>
      </c>
      <c r="B33" s="16" t="s">
        <v>56</v>
      </c>
      <c r="C33" s="89">
        <f t="shared" ref="C33:N33" si="8">C32*C21*0.5144</f>
        <v>56.240941845830157</v>
      </c>
      <c r="D33" s="43">
        <f t="shared" si="8"/>
        <v>310.73291946278516</v>
      </c>
      <c r="E33" s="43">
        <f t="shared" si="8"/>
        <v>379.35206627531034</v>
      </c>
      <c r="F33" s="43">
        <f t="shared" si="8"/>
        <v>466.25350952084648</v>
      </c>
      <c r="G33" s="43">
        <f t="shared" si="8"/>
        <v>580.62919217755814</v>
      </c>
      <c r="H33" s="89">
        <f t="shared" si="8"/>
        <v>737.6964901455201</v>
      </c>
      <c r="I33" s="89">
        <f t="shared" si="8"/>
        <v>1291.374065118423</v>
      </c>
      <c r="J33" s="89">
        <f t="shared" si="8"/>
        <v>2524.1957335970151</v>
      </c>
      <c r="K33" s="119">
        <f t="shared" si="8"/>
        <v>1107.5424414549657</v>
      </c>
      <c r="L33" s="119">
        <f t="shared" si="8"/>
        <v>1140.7920398777353</v>
      </c>
      <c r="M33" s="119">
        <f t="shared" si="8"/>
        <v>1175.3875235014182</v>
      </c>
      <c r="N33" s="244">
        <f t="shared" si="8"/>
        <v>11770.387822163859</v>
      </c>
      <c r="T33" s="1"/>
    </row>
    <row r="34" spans="1:20" x14ac:dyDescent="0.25">
      <c r="A34" s="15" t="s">
        <v>57</v>
      </c>
      <c r="B34" s="16" t="s">
        <v>28</v>
      </c>
      <c r="C34" s="88">
        <f t="shared" ref="C34:N34" si="9">$K5*$K6*$K7*C38</f>
        <v>0.65927631097866735</v>
      </c>
      <c r="D34" s="42">
        <f t="shared" si="9"/>
        <v>0.63891348766436684</v>
      </c>
      <c r="E34" s="42">
        <f t="shared" si="9"/>
        <v>0.63187768756787988</v>
      </c>
      <c r="F34" s="42">
        <f t="shared" si="9"/>
        <v>0.62294221635502267</v>
      </c>
      <c r="G34" s="42">
        <f t="shared" si="9"/>
        <v>0.61119157808946056</v>
      </c>
      <c r="H34" s="88">
        <f t="shared" si="9"/>
        <v>0.59549800769663519</v>
      </c>
      <c r="I34" s="88">
        <f t="shared" si="9"/>
        <v>0.54787092996927633</v>
      </c>
      <c r="J34" s="88">
        <f t="shared" si="9"/>
        <v>0.47547300140741983</v>
      </c>
      <c r="K34" s="118">
        <f t="shared" si="9"/>
        <v>0.56231135083267125</v>
      </c>
      <c r="L34" s="118">
        <f t="shared" si="9"/>
        <v>0.55960416824016945</v>
      </c>
      <c r="M34" s="118">
        <f t="shared" si="9"/>
        <v>0.55683319553911947</v>
      </c>
      <c r="N34" s="238">
        <f t="shared" si="9"/>
        <v>0.3019694515920438</v>
      </c>
    </row>
    <row r="35" spans="1:20" x14ac:dyDescent="0.25">
      <c r="A35" s="81" t="s">
        <v>58</v>
      </c>
      <c r="B35" s="117" t="s">
        <v>56</v>
      </c>
      <c r="C35" s="115">
        <f t="shared" ref="C35:N35" si="10">C33/C34</f>
        <v>85.307087346036894</v>
      </c>
      <c r="D35" s="116">
        <f t="shared" si="10"/>
        <v>486.34584409653121</v>
      </c>
      <c r="E35" s="116">
        <f t="shared" si="10"/>
        <v>600.35679964496012</v>
      </c>
      <c r="F35" s="116">
        <f t="shared" si="10"/>
        <v>748.46991788259652</v>
      </c>
      <c r="G35" s="116">
        <f t="shared" si="10"/>
        <v>949.9954073198486</v>
      </c>
      <c r="H35" s="115">
        <f t="shared" si="10"/>
        <v>1238.7891825178451</v>
      </c>
      <c r="I35" s="115">
        <f t="shared" si="10"/>
        <v>2357.0771772666258</v>
      </c>
      <c r="J35" s="115">
        <f t="shared" si="10"/>
        <v>5308.8098086017308</v>
      </c>
      <c r="K35" s="157">
        <f t="shared" si="10"/>
        <v>1969.6249058727262</v>
      </c>
      <c r="L35" s="157">
        <f t="shared" si="10"/>
        <v>2038.569590118087</v>
      </c>
      <c r="M35" s="157">
        <f t="shared" si="10"/>
        <v>2110.8431266627731</v>
      </c>
      <c r="N35" s="246">
        <f t="shared" si="10"/>
        <v>38978.736955370827</v>
      </c>
    </row>
    <row r="36" spans="1:20" x14ac:dyDescent="0.25">
      <c r="A36" s="35" t="s">
        <v>59</v>
      </c>
      <c r="B36" s="37" t="s">
        <v>28</v>
      </c>
      <c r="C36" s="93">
        <f t="shared" ref="C36:N36" si="11">2.54648*C32/(1-$K4)/$C17/$C3/(C39*$C18)^2/$K7</f>
        <v>1.1234112867215764</v>
      </c>
      <c r="D36" s="47">
        <f t="shared" si="11"/>
        <v>1.329569424860642</v>
      </c>
      <c r="E36" s="47">
        <f t="shared" si="11"/>
        <v>1.4055644239316354</v>
      </c>
      <c r="F36" s="47">
        <f t="shared" si="11"/>
        <v>1.5058363093006426</v>
      </c>
      <c r="G36" s="47">
        <f t="shared" si="11"/>
        <v>1.6444244025150008</v>
      </c>
      <c r="H36" s="93">
        <f t="shared" si="11"/>
        <v>1.8422349522678232</v>
      </c>
      <c r="I36" s="93">
        <f t="shared" si="11"/>
        <v>2.5448020842345813</v>
      </c>
      <c r="J36" s="93">
        <f t="shared" si="11"/>
        <v>3.9938351845495097</v>
      </c>
      <c r="K36" s="123">
        <f t="shared" si="11"/>
        <v>2.3140437472166688</v>
      </c>
      <c r="L36" s="123">
        <f t="shared" si="11"/>
        <v>2.3560501907398725</v>
      </c>
      <c r="M36" s="123">
        <f t="shared" si="11"/>
        <v>2.3996360021805505</v>
      </c>
      <c r="N36" s="248">
        <f t="shared" si="11"/>
        <v>12.398546456171163</v>
      </c>
    </row>
    <row r="37" spans="1:20" x14ac:dyDescent="0.25">
      <c r="A37" s="35" t="s">
        <v>60</v>
      </c>
      <c r="B37" s="48" t="s">
        <v>28</v>
      </c>
      <c r="C37" s="93">
        <f t="shared" ref="C37:N37" si="12">(1.3+0.3*$C19)*C32/(1-$K4)/$C17/(99.6+$C3*9.81*0.65*$C18)/$C18^2+C72</f>
        <v>0.25128585937199122</v>
      </c>
      <c r="D37" s="47">
        <f t="shared" si="12"/>
        <v>0.36954233870631581</v>
      </c>
      <c r="E37" s="47">
        <f t="shared" si="12"/>
        <v>0.39728536708151452</v>
      </c>
      <c r="F37" s="47">
        <f t="shared" si="12"/>
        <v>0.43162760518562887</v>
      </c>
      <c r="G37" s="47">
        <f t="shared" si="12"/>
        <v>0.47609181715237014</v>
      </c>
      <c r="H37" s="93">
        <f t="shared" si="12"/>
        <v>0.53636939201995681</v>
      </c>
      <c r="I37" s="93">
        <f t="shared" si="12"/>
        <v>0.74412961492625573</v>
      </c>
      <c r="J37" s="93">
        <f t="shared" si="12"/>
        <v>1.1885418304145459</v>
      </c>
      <c r="K37" s="123">
        <f t="shared" si="12"/>
        <v>0.67586134333207792</v>
      </c>
      <c r="L37" s="123">
        <f t="shared" si="12"/>
        <v>0.68825738439785611</v>
      </c>
      <c r="M37" s="123">
        <f t="shared" si="12"/>
        <v>0.70113202829144883</v>
      </c>
      <c r="N37" s="248">
        <f t="shared" si="12"/>
        <v>4.22501119373179</v>
      </c>
    </row>
    <row r="38" spans="1:20" ht="13.8" thickBot="1" x14ac:dyDescent="0.3">
      <c r="A38" s="35" t="s">
        <v>61</v>
      </c>
      <c r="B38" s="37" t="s">
        <v>28</v>
      </c>
      <c r="C38" s="274">
        <f t="shared" ref="C38:M38" si="13">(1+$K15/100)*IF($K14=1,MAX(0.69,0.81-0.014*C36),IF(C36&lt;7,-0.000205*C36^4+0.00518*C36^3-0.0462*C36^2+0.177*C36+0.59,0.85))/(1+SQRT(1+C36))*2</f>
        <v>0.64648748299640757</v>
      </c>
      <c r="D38" s="269">
        <f t="shared" si="13"/>
        <v>0.6265196634768182</v>
      </c>
      <c r="E38" s="269">
        <f t="shared" si="13"/>
        <v>0.61962034581668324</v>
      </c>
      <c r="F38" s="269">
        <f t="shared" si="13"/>
        <v>0.61085820739673657</v>
      </c>
      <c r="G38" s="269">
        <f t="shared" si="13"/>
        <v>0.59933551132924456</v>
      </c>
      <c r="H38" s="272">
        <f t="shared" si="13"/>
        <v>0.58394636924491305</v>
      </c>
      <c r="I38" s="272">
        <f t="shared" si="13"/>
        <v>0.53724317501558061</v>
      </c>
      <c r="J38" s="272">
        <f t="shared" si="13"/>
        <v>0.46624964190860568</v>
      </c>
      <c r="K38" s="273">
        <f t="shared" si="13"/>
        <v>0.55140347651879518</v>
      </c>
      <c r="L38" s="273">
        <f t="shared" si="13"/>
        <v>0.54874880861841191</v>
      </c>
      <c r="M38" s="273">
        <f t="shared" si="13"/>
        <v>0.54603158802801288</v>
      </c>
      <c r="N38" s="270">
        <f>IF($K14=1,MAX(0.69,0.81-0.014*N36),IF(N36&lt;7,-0.000205*N36^4+0.00518*N36^3-0.0462*N36^2+0.177*N36+0.59,0.85))/(1+SQRT(1+N36))*2</f>
        <v>0.29611176292949315</v>
      </c>
    </row>
    <row r="39" spans="1:20" ht="13.8" thickTop="1" x14ac:dyDescent="0.25">
      <c r="A39" s="50" t="s">
        <v>62</v>
      </c>
      <c r="B39" s="51" t="s">
        <v>63</v>
      </c>
      <c r="C39" s="94">
        <f t="shared" ref="C39:N39" si="14">C21*0.5144*(1-$K3)</f>
        <v>2.330200401817347</v>
      </c>
      <c r="D39" s="52">
        <f t="shared" si="14"/>
        <v>3.8944615531241316</v>
      </c>
      <c r="E39" s="52">
        <f t="shared" si="14"/>
        <v>4.0858827955766071</v>
      </c>
      <c r="F39" s="52">
        <f t="shared" si="14"/>
        <v>4.2773040380290821</v>
      </c>
      <c r="G39" s="52">
        <f t="shared" si="14"/>
        <v>4.468725280481558</v>
      </c>
      <c r="H39" s="52">
        <f t="shared" si="14"/>
        <v>4.6601465229340331</v>
      </c>
      <c r="I39" s="52">
        <f t="shared" si="14"/>
        <v>5.0429890078389841</v>
      </c>
      <c r="J39" s="52">
        <f t="shared" si="14"/>
        <v>5.4258314927439351</v>
      </c>
      <c r="K39" s="52">
        <f t="shared" si="14"/>
        <v>4.9455918979057119</v>
      </c>
      <c r="L39" s="52">
        <f t="shared" si="14"/>
        <v>4.9647340221509593</v>
      </c>
      <c r="M39" s="52">
        <f t="shared" si="14"/>
        <v>4.9838761463962067</v>
      </c>
      <c r="N39" s="264">
        <f t="shared" si="14"/>
        <v>6.2138677381795917</v>
      </c>
    </row>
    <row r="40" spans="1:20" x14ac:dyDescent="0.25">
      <c r="A40" s="35" t="s">
        <v>64</v>
      </c>
      <c r="B40" s="37" t="s">
        <v>63</v>
      </c>
      <c r="C40" s="93">
        <f t="shared" ref="C40:N40" si="15">C39*SQRT(1+C36)</f>
        <v>3.3955515921719601</v>
      </c>
      <c r="D40" s="47">
        <f t="shared" si="15"/>
        <v>5.9440882629327625</v>
      </c>
      <c r="E40" s="47">
        <f t="shared" si="15"/>
        <v>6.3371560386032346</v>
      </c>
      <c r="F40" s="47">
        <f t="shared" si="15"/>
        <v>6.7709011060579449</v>
      </c>
      <c r="G40" s="47">
        <f t="shared" si="15"/>
        <v>7.2669008525312169</v>
      </c>
      <c r="H40" s="47">
        <f t="shared" si="15"/>
        <v>7.856508049302831</v>
      </c>
      <c r="I40" s="47">
        <f t="shared" si="15"/>
        <v>9.4947605730856441</v>
      </c>
      <c r="J40" s="47">
        <f t="shared" si="15"/>
        <v>12.125046265692639</v>
      </c>
      <c r="K40" s="47">
        <f t="shared" si="15"/>
        <v>9.0032103021677017</v>
      </c>
      <c r="L40" s="47">
        <f t="shared" si="15"/>
        <v>9.0951572133187106</v>
      </c>
      <c r="M40" s="47">
        <f t="shared" si="15"/>
        <v>9.1893216047353459</v>
      </c>
      <c r="N40" s="265">
        <f t="shared" si="15"/>
        <v>22.745256998549127</v>
      </c>
    </row>
    <row r="41" spans="1:20" x14ac:dyDescent="0.25">
      <c r="A41" s="35" t="s">
        <v>65</v>
      </c>
      <c r="B41" s="37" t="s">
        <v>63</v>
      </c>
      <c r="C41" s="93">
        <f t="shared" ref="C41:N41" si="16">C40-C39</f>
        <v>1.0653511903546131</v>
      </c>
      <c r="D41" s="47">
        <f t="shared" si="16"/>
        <v>2.0496267098086309</v>
      </c>
      <c r="E41" s="47">
        <f t="shared" si="16"/>
        <v>2.2512732430266276</v>
      </c>
      <c r="F41" s="47">
        <f t="shared" si="16"/>
        <v>2.4935970680288628</v>
      </c>
      <c r="G41" s="47">
        <f t="shared" si="16"/>
        <v>2.7981755720496588</v>
      </c>
      <c r="H41" s="47">
        <f t="shared" si="16"/>
        <v>3.1963615263687979</v>
      </c>
      <c r="I41" s="47">
        <f t="shared" si="16"/>
        <v>4.4517715652466601</v>
      </c>
      <c r="J41" s="47">
        <f t="shared" si="16"/>
        <v>6.6992147729487037</v>
      </c>
      <c r="K41" s="47">
        <f t="shared" si="16"/>
        <v>4.0576184042619898</v>
      </c>
      <c r="L41" s="47">
        <f t="shared" si="16"/>
        <v>4.1304231911677514</v>
      </c>
      <c r="M41" s="47">
        <f t="shared" si="16"/>
        <v>4.2054454583391392</v>
      </c>
      <c r="N41" s="265">
        <f t="shared" si="16"/>
        <v>16.531389260369536</v>
      </c>
    </row>
    <row r="42" spans="1:20" x14ac:dyDescent="0.25">
      <c r="A42" s="35" t="s">
        <v>66</v>
      </c>
      <c r="B42" s="37" t="s">
        <v>28</v>
      </c>
      <c r="C42" s="93">
        <f t="shared" ref="C42:N42" si="17">C40/C39</f>
        <v>1.4571929476639585</v>
      </c>
      <c r="D42" s="47">
        <f t="shared" si="17"/>
        <v>1.5262927061545706</v>
      </c>
      <c r="E42" s="47">
        <f t="shared" si="17"/>
        <v>1.5509882088306266</v>
      </c>
      <c r="F42" s="47">
        <f t="shared" si="17"/>
        <v>1.5829833572405752</v>
      </c>
      <c r="G42" s="47">
        <f t="shared" si="17"/>
        <v>1.6261686267158768</v>
      </c>
      <c r="H42" s="47">
        <f t="shared" si="17"/>
        <v>1.6858929243186898</v>
      </c>
      <c r="I42" s="47">
        <f t="shared" si="17"/>
        <v>1.8827644792258487</v>
      </c>
      <c r="J42" s="47">
        <f t="shared" si="17"/>
        <v>2.2346890576877825</v>
      </c>
      <c r="K42" s="47">
        <f t="shared" si="17"/>
        <v>1.8204515228966327</v>
      </c>
      <c r="L42" s="47">
        <f t="shared" si="17"/>
        <v>1.8319525623606832</v>
      </c>
      <c r="M42" s="47">
        <f t="shared" si="17"/>
        <v>1.8438101860496787</v>
      </c>
      <c r="N42" s="265">
        <f t="shared" si="17"/>
        <v>3.6604024992029447</v>
      </c>
    </row>
    <row r="43" spans="1:20" x14ac:dyDescent="0.25">
      <c r="A43" s="35" t="s">
        <v>67</v>
      </c>
      <c r="B43" s="37" t="s">
        <v>63</v>
      </c>
      <c r="C43" s="93">
        <f t="shared" ref="C43:N43" si="18">C39+0.5*C41</f>
        <v>2.8628759969946538</v>
      </c>
      <c r="D43" s="47">
        <f t="shared" si="18"/>
        <v>4.9192749080284468</v>
      </c>
      <c r="E43" s="47">
        <f t="shared" si="18"/>
        <v>5.2115194170899208</v>
      </c>
      <c r="F43" s="47">
        <f t="shared" si="18"/>
        <v>5.524102572043514</v>
      </c>
      <c r="G43" s="47">
        <f t="shared" si="18"/>
        <v>5.8678130665063879</v>
      </c>
      <c r="H43" s="47">
        <f t="shared" si="18"/>
        <v>6.2583272861184316</v>
      </c>
      <c r="I43" s="47">
        <f t="shared" si="18"/>
        <v>7.2688747904623146</v>
      </c>
      <c r="J43" s="47">
        <f t="shared" si="18"/>
        <v>8.7754388792182869</v>
      </c>
      <c r="K43" s="47">
        <f t="shared" si="18"/>
        <v>6.9744011000367063</v>
      </c>
      <c r="L43" s="47">
        <f t="shared" si="18"/>
        <v>7.0299456177348354</v>
      </c>
      <c r="M43" s="47">
        <f t="shared" si="18"/>
        <v>7.0865988755657767</v>
      </c>
      <c r="N43" s="265">
        <f t="shared" si="18"/>
        <v>14.479562368364359</v>
      </c>
    </row>
    <row r="44" spans="1:20" x14ac:dyDescent="0.25">
      <c r="A44" s="35" t="s">
        <v>68</v>
      </c>
      <c r="B44" s="37" t="s">
        <v>69</v>
      </c>
      <c r="C44" s="92">
        <f t="shared" ref="C44:N44" si="19">0.785*$C18^2*C43</f>
        <v>21.229575361011825</v>
      </c>
      <c r="D44" s="46">
        <f t="shared" si="19"/>
        <v>36.478742876448607</v>
      </c>
      <c r="E44" s="46">
        <f t="shared" si="19"/>
        <v>38.645873704146155</v>
      </c>
      <c r="F44" s="46">
        <f t="shared" si="19"/>
        <v>40.963825180785861</v>
      </c>
      <c r="G44" s="46">
        <f t="shared" si="19"/>
        <v>43.512600556397722</v>
      </c>
      <c r="H44" s="46">
        <f t="shared" si="19"/>
        <v>46.408447621902347</v>
      </c>
      <c r="I44" s="46">
        <f t="shared" si="19"/>
        <v>53.902133838794732</v>
      </c>
      <c r="J44" s="46">
        <f t="shared" si="19"/>
        <v>65.074016900448257</v>
      </c>
      <c r="K44" s="46">
        <f t="shared" si="19"/>
        <v>51.718472580225253</v>
      </c>
      <c r="L44" s="46">
        <f t="shared" si="19"/>
        <v>52.130361368143888</v>
      </c>
      <c r="M44" s="46">
        <f t="shared" si="19"/>
        <v>52.550471986917238</v>
      </c>
      <c r="N44" s="244">
        <f t="shared" si="19"/>
        <v>107.37278206123996</v>
      </c>
    </row>
    <row r="45" spans="1:20" ht="13.8" thickBot="1" x14ac:dyDescent="0.3">
      <c r="A45" s="35" t="s">
        <v>70</v>
      </c>
      <c r="B45" s="37" t="s">
        <v>28</v>
      </c>
      <c r="C45" s="88">
        <f>C61+C62+C114</f>
        <v>0.67351412501459762</v>
      </c>
      <c r="D45" s="185">
        <f t="shared" ref="D45:N45" si="20">D61+D62+D114</f>
        <v>1.4417269081799344</v>
      </c>
      <c r="E45" s="185">
        <f t="shared" si="20"/>
        <v>1.6488381115764674</v>
      </c>
      <c r="F45" s="185">
        <f t="shared" si="20"/>
        <v>1.9178442106222422</v>
      </c>
      <c r="G45" s="185">
        <f t="shared" si="20"/>
        <v>2.2849600284533125</v>
      </c>
      <c r="H45" s="185">
        <f t="shared" si="20"/>
        <v>2.8040763192299236</v>
      </c>
      <c r="I45" s="185">
        <f t="shared" si="20"/>
        <v>4.6314101957255298</v>
      </c>
      <c r="J45" s="185">
        <f t="shared" si="20"/>
        <v>8.3795051041994117</v>
      </c>
      <c r="K45" s="185">
        <f t="shared" si="20"/>
        <v>4.0327182390824854</v>
      </c>
      <c r="L45" s="185">
        <f t="shared" si="20"/>
        <v>4.1417745257801206</v>
      </c>
      <c r="M45" s="185">
        <f t="shared" si="20"/>
        <v>4.2548940185876871</v>
      </c>
      <c r="N45" s="266">
        <f t="shared" si="20"/>
        <v>30.053613949129804</v>
      </c>
    </row>
    <row r="46" spans="1:20" x14ac:dyDescent="0.25">
      <c r="A46" s="50"/>
      <c r="B46" s="55" t="s">
        <v>71</v>
      </c>
      <c r="C46" s="54">
        <f t="shared" ref="C46:N46" si="21">1.35-0.23*$C13+0.012*$C13^2</f>
        <v>0.51791096127662084</v>
      </c>
      <c r="D46" s="54">
        <f t="shared" si="21"/>
        <v>0.51791096127662084</v>
      </c>
      <c r="E46" s="54">
        <f t="shared" si="21"/>
        <v>0.51791096127662084</v>
      </c>
      <c r="F46" s="54">
        <f t="shared" si="21"/>
        <v>0.51791096127662084</v>
      </c>
      <c r="G46" s="54">
        <f t="shared" si="21"/>
        <v>0.51791096127662084</v>
      </c>
      <c r="H46" s="54">
        <f t="shared" si="21"/>
        <v>0.51791096127662084</v>
      </c>
      <c r="I46" s="54">
        <f t="shared" si="21"/>
        <v>0.51791096127662084</v>
      </c>
      <c r="J46" s="54">
        <f t="shared" si="21"/>
        <v>0.51791096127662084</v>
      </c>
      <c r="K46" s="54">
        <f t="shared" si="21"/>
        <v>0.51791096127662084</v>
      </c>
      <c r="L46" s="54">
        <f t="shared" si="21"/>
        <v>0.51791096127662084</v>
      </c>
      <c r="M46" s="54">
        <f t="shared" si="21"/>
        <v>0.51791096127662084</v>
      </c>
      <c r="N46" s="57">
        <f t="shared" si="21"/>
        <v>0.51791096127662084</v>
      </c>
    </row>
    <row r="47" spans="1:20" x14ac:dyDescent="0.25">
      <c r="A47" s="35"/>
      <c r="B47" s="53" t="s">
        <v>72</v>
      </c>
      <c r="C47" s="43">
        <f t="shared" ref="C47:N47" si="22">0.0011*$C13^9.1</f>
        <v>1876.9750401177689</v>
      </c>
      <c r="D47" s="43">
        <f t="shared" si="22"/>
        <v>1876.9750401177689</v>
      </c>
      <c r="E47" s="43">
        <f t="shared" si="22"/>
        <v>1876.9750401177689</v>
      </c>
      <c r="F47" s="43">
        <f t="shared" si="22"/>
        <v>1876.9750401177689</v>
      </c>
      <c r="G47" s="43">
        <f t="shared" si="22"/>
        <v>1876.9750401177689</v>
      </c>
      <c r="H47" s="43">
        <f t="shared" si="22"/>
        <v>1876.9750401177689</v>
      </c>
      <c r="I47" s="43">
        <f t="shared" si="22"/>
        <v>1876.9750401177689</v>
      </c>
      <c r="J47" s="43">
        <f t="shared" si="22"/>
        <v>1876.9750401177689</v>
      </c>
      <c r="K47" s="43">
        <f t="shared" si="22"/>
        <v>1876.9750401177689</v>
      </c>
      <c r="L47" s="43">
        <f t="shared" si="22"/>
        <v>1876.9750401177689</v>
      </c>
      <c r="M47" s="43">
        <f t="shared" si="22"/>
        <v>1876.9750401177689</v>
      </c>
      <c r="N47" s="46">
        <f t="shared" si="22"/>
        <v>1876.9750401177689</v>
      </c>
    </row>
    <row r="48" spans="1:20" x14ac:dyDescent="0.25">
      <c r="A48" s="35"/>
      <c r="B48" s="53" t="s">
        <v>73</v>
      </c>
      <c r="C48" s="42">
        <f t="shared" ref="C48:N48" si="23">2*$C13-3.7</f>
        <v>5.9799339201770669</v>
      </c>
      <c r="D48" s="42">
        <f t="shared" si="23"/>
        <v>5.9799339201770669</v>
      </c>
      <c r="E48" s="42">
        <f t="shared" si="23"/>
        <v>5.9799339201770669</v>
      </c>
      <c r="F48" s="42">
        <f t="shared" si="23"/>
        <v>5.9799339201770669</v>
      </c>
      <c r="G48" s="42">
        <f t="shared" si="23"/>
        <v>5.9799339201770669</v>
      </c>
      <c r="H48" s="42">
        <f t="shared" si="23"/>
        <v>5.9799339201770669</v>
      </c>
      <c r="I48" s="42">
        <f t="shared" si="23"/>
        <v>5.9799339201770669</v>
      </c>
      <c r="J48" s="42">
        <f t="shared" si="23"/>
        <v>5.9799339201770669</v>
      </c>
      <c r="K48" s="42">
        <f t="shared" si="23"/>
        <v>5.9799339201770669</v>
      </c>
      <c r="L48" s="42">
        <f t="shared" si="23"/>
        <v>5.9799339201770669</v>
      </c>
      <c r="M48" s="42">
        <f t="shared" si="23"/>
        <v>5.9799339201770669</v>
      </c>
      <c r="N48" s="56">
        <f t="shared" si="23"/>
        <v>5.9799339201770669</v>
      </c>
    </row>
    <row r="49" spans="1:14" x14ac:dyDescent="0.25">
      <c r="A49" s="35"/>
      <c r="B49" s="53" t="s">
        <v>74</v>
      </c>
      <c r="C49" s="42">
        <f t="shared" ref="C49:N49" si="24">7-0.09*$C13^2</f>
        <v>4.8917247842726219</v>
      </c>
      <c r="D49" s="42">
        <f t="shared" si="24"/>
        <v>4.8917247842726219</v>
      </c>
      <c r="E49" s="42">
        <f t="shared" si="24"/>
        <v>4.8917247842726219</v>
      </c>
      <c r="F49" s="42">
        <f t="shared" si="24"/>
        <v>4.8917247842726219</v>
      </c>
      <c r="G49" s="42">
        <f t="shared" si="24"/>
        <v>4.8917247842726219</v>
      </c>
      <c r="H49" s="42">
        <f t="shared" si="24"/>
        <v>4.8917247842726219</v>
      </c>
      <c r="I49" s="42">
        <f t="shared" si="24"/>
        <v>4.8917247842726219</v>
      </c>
      <c r="J49" s="42">
        <f t="shared" si="24"/>
        <v>4.8917247842726219</v>
      </c>
      <c r="K49" s="42">
        <f t="shared" si="24"/>
        <v>4.8917247842726219</v>
      </c>
      <c r="L49" s="42">
        <f t="shared" si="24"/>
        <v>4.8917247842726219</v>
      </c>
      <c r="M49" s="42">
        <f t="shared" si="24"/>
        <v>4.8917247842726219</v>
      </c>
      <c r="N49" s="56">
        <f t="shared" si="24"/>
        <v>4.8917247842726219</v>
      </c>
    </row>
    <row r="50" spans="1:14" x14ac:dyDescent="0.25">
      <c r="A50" s="35"/>
      <c r="B50" s="53" t="s">
        <v>75</v>
      </c>
      <c r="C50" s="42">
        <f t="shared" ref="C50:N50" si="25">(5*$C12-2.5)^2</f>
        <v>2.0425547958472321</v>
      </c>
      <c r="D50" s="42">
        <f t="shared" si="25"/>
        <v>2.0425547958472321</v>
      </c>
      <c r="E50" s="42">
        <f t="shared" si="25"/>
        <v>2.0425547958472321</v>
      </c>
      <c r="F50" s="42">
        <f t="shared" si="25"/>
        <v>2.0425547958472321</v>
      </c>
      <c r="G50" s="42">
        <f t="shared" si="25"/>
        <v>2.0425547958472321</v>
      </c>
      <c r="H50" s="42">
        <f t="shared" si="25"/>
        <v>2.0425547958472321</v>
      </c>
      <c r="I50" s="42">
        <f t="shared" si="25"/>
        <v>2.0425547958472321</v>
      </c>
      <c r="J50" s="42">
        <f t="shared" si="25"/>
        <v>2.0425547958472321</v>
      </c>
      <c r="K50" s="42">
        <f t="shared" si="25"/>
        <v>2.0425547958472321</v>
      </c>
      <c r="L50" s="42">
        <f t="shared" si="25"/>
        <v>2.0425547958472321</v>
      </c>
      <c r="M50" s="42">
        <f t="shared" si="25"/>
        <v>2.0425547958472321</v>
      </c>
      <c r="N50" s="56">
        <f t="shared" si="25"/>
        <v>2.0425547958472321</v>
      </c>
    </row>
    <row r="51" spans="1:14" x14ac:dyDescent="0.25">
      <c r="A51" s="35"/>
      <c r="B51" s="53" t="s">
        <v>76</v>
      </c>
      <c r="C51" s="42">
        <f t="shared" ref="C51:N51" si="26">(600*(C22-0.315)^2+1)^1.5</f>
        <v>116.21866402766382</v>
      </c>
      <c r="D51" s="42">
        <f t="shared" si="26"/>
        <v>26.365644653148415</v>
      </c>
      <c r="E51" s="42">
        <f t="shared" si="26"/>
        <v>20.798874499411056</v>
      </c>
      <c r="F51" s="42">
        <f t="shared" si="26"/>
        <v>16.130584006034162</v>
      </c>
      <c r="G51" s="42">
        <f t="shared" si="26"/>
        <v>12.277002360042575</v>
      </c>
      <c r="H51" s="42">
        <f t="shared" si="26"/>
        <v>9.1546672481812088</v>
      </c>
      <c r="I51" s="42">
        <f t="shared" si="26"/>
        <v>4.7726452880337096</v>
      </c>
      <c r="J51" s="42">
        <f t="shared" si="26"/>
        <v>2.3342076079393079</v>
      </c>
      <c r="K51" s="42">
        <f t="shared" si="26"/>
        <v>5.6777544923844143</v>
      </c>
      <c r="L51" s="42">
        <f t="shared" si="26"/>
        <v>5.48944924831466</v>
      </c>
      <c r="M51" s="42">
        <f t="shared" si="26"/>
        <v>5.3063236401157843</v>
      </c>
      <c r="N51" s="56">
        <f t="shared" si="26"/>
        <v>1.0225841652402019</v>
      </c>
    </row>
    <row r="52" spans="1:14" x14ac:dyDescent="0.25">
      <c r="A52" s="35"/>
      <c r="B52" s="53" t="s">
        <v>77</v>
      </c>
      <c r="C52" s="42">
        <f t="shared" ref="C52:N52" si="27">C49*C50/C51</f>
        <v>8.5972558725184459E-2</v>
      </c>
      <c r="D52" s="42">
        <f t="shared" si="27"/>
        <v>0.37896345981768653</v>
      </c>
      <c r="E52" s="42">
        <f t="shared" si="27"/>
        <v>0.48039214421740634</v>
      </c>
      <c r="F52" s="42">
        <f t="shared" si="27"/>
        <v>0.61942059347281697</v>
      </c>
      <c r="G52" s="42">
        <f t="shared" si="27"/>
        <v>0.81384817116270081</v>
      </c>
      <c r="H52" s="42">
        <f t="shared" si="27"/>
        <v>1.0914231666984817</v>
      </c>
      <c r="I52" s="42">
        <f t="shared" si="27"/>
        <v>2.0935173923636117</v>
      </c>
      <c r="J52" s="42">
        <f t="shared" si="27"/>
        <v>4.2805172445229234</v>
      </c>
      <c r="K52" s="42">
        <f t="shared" si="27"/>
        <v>1.7597830148314073</v>
      </c>
      <c r="L52" s="42">
        <f t="shared" si="27"/>
        <v>1.8201490652542933</v>
      </c>
      <c r="M52" s="42">
        <f t="shared" si="27"/>
        <v>1.8829639116891093</v>
      </c>
      <c r="N52" s="56">
        <f t="shared" si="27"/>
        <v>9.7709472312568142</v>
      </c>
    </row>
    <row r="53" spans="1:14" x14ac:dyDescent="0.25">
      <c r="A53" s="35"/>
      <c r="B53" s="53"/>
      <c r="C53" s="42">
        <f t="shared" ref="C53:N53" si="28">C22-(0.04+0.59*$C12)-0.015*($C13-5)</f>
        <v>-0.38124271647159441</v>
      </c>
      <c r="D53" s="42">
        <f t="shared" si="28"/>
        <v>-0.30068683895547338</v>
      </c>
      <c r="E53" s="42">
        <f t="shared" si="28"/>
        <v>-0.29082908205337088</v>
      </c>
      <c r="F53" s="42">
        <f t="shared" si="28"/>
        <v>-0.28097132515126833</v>
      </c>
      <c r="G53" s="42">
        <f t="shared" si="28"/>
        <v>-0.27111356824916583</v>
      </c>
      <c r="H53" s="42">
        <f t="shared" si="28"/>
        <v>-0.26125581134706327</v>
      </c>
      <c r="I53" s="42">
        <f t="shared" si="28"/>
        <v>-0.24154029754285822</v>
      </c>
      <c r="J53" s="42">
        <f t="shared" si="28"/>
        <v>-0.22182478373865316</v>
      </c>
      <c r="K53" s="42">
        <f t="shared" si="28"/>
        <v>-0.24655602631145568</v>
      </c>
      <c r="L53" s="42">
        <f t="shared" si="28"/>
        <v>-0.24557025062124543</v>
      </c>
      <c r="M53" s="42">
        <f t="shared" si="28"/>
        <v>-0.24458447493103519</v>
      </c>
      <c r="N53" s="56">
        <f t="shared" si="28"/>
        <v>-0.1812427164715944</v>
      </c>
    </row>
    <row r="54" spans="1:14" x14ac:dyDescent="0.25">
      <c r="A54" s="18"/>
      <c r="B54" s="53" t="s">
        <v>78</v>
      </c>
      <c r="C54" s="42">
        <f t="shared" ref="C54:N54" si="29">EXP(80*C53)</f>
        <v>5.6789933174893766E-14</v>
      </c>
      <c r="D54" s="42">
        <f t="shared" si="29"/>
        <v>3.5732977414028468E-11</v>
      </c>
      <c r="E54" s="42">
        <f t="shared" si="29"/>
        <v>7.862538028160401E-11</v>
      </c>
      <c r="F54" s="42">
        <f t="shared" si="29"/>
        <v>1.7300406716177771E-10</v>
      </c>
      <c r="G54" s="42">
        <f t="shared" si="29"/>
        <v>3.806710650850677E-10</v>
      </c>
      <c r="H54" s="42">
        <f t="shared" si="29"/>
        <v>8.3761302361460523E-10</v>
      </c>
      <c r="I54" s="42">
        <f t="shared" si="29"/>
        <v>4.0553704247469232E-9</v>
      </c>
      <c r="J54" s="42">
        <f t="shared" si="29"/>
        <v>1.9634400156460602E-8</v>
      </c>
      <c r="K54" s="42">
        <f t="shared" si="29"/>
        <v>2.7149776791103719E-9</v>
      </c>
      <c r="L54" s="42">
        <f t="shared" si="29"/>
        <v>2.9377553026872023E-9</v>
      </c>
      <c r="M54" s="42">
        <f t="shared" si="29"/>
        <v>3.1788129548434215E-9</v>
      </c>
      <c r="N54" s="56">
        <f t="shared" si="29"/>
        <v>5.0464162264436253E-7</v>
      </c>
    </row>
    <row r="55" spans="1:14" x14ac:dyDescent="0.25">
      <c r="A55" s="18"/>
      <c r="B55" s="53"/>
      <c r="C55" s="42">
        <f t="shared" ref="C55:N55" si="30">20*$C12-16</f>
        <v>-0.28328094677062943</v>
      </c>
      <c r="D55" s="42">
        <f t="shared" si="30"/>
        <v>-0.28328094677062943</v>
      </c>
      <c r="E55" s="42">
        <f t="shared" si="30"/>
        <v>-0.28328094677062943</v>
      </c>
      <c r="F55" s="42">
        <f t="shared" si="30"/>
        <v>-0.28328094677062943</v>
      </c>
      <c r="G55" s="42">
        <f t="shared" si="30"/>
        <v>-0.28328094677062943</v>
      </c>
      <c r="H55" s="42">
        <f t="shared" si="30"/>
        <v>-0.28328094677062943</v>
      </c>
      <c r="I55" s="42">
        <f t="shared" si="30"/>
        <v>-0.28328094677062943</v>
      </c>
      <c r="J55" s="42">
        <f t="shared" si="30"/>
        <v>-0.28328094677062943</v>
      </c>
      <c r="K55" s="42">
        <f t="shared" si="30"/>
        <v>-0.28328094677062943</v>
      </c>
      <c r="L55" s="42">
        <f t="shared" si="30"/>
        <v>-0.28328094677062943</v>
      </c>
      <c r="M55" s="42">
        <f t="shared" si="30"/>
        <v>-0.28328094677062943</v>
      </c>
      <c r="N55" s="56">
        <f t="shared" si="30"/>
        <v>-0.28328094677062943</v>
      </c>
    </row>
    <row r="56" spans="1:14" x14ac:dyDescent="0.25">
      <c r="A56" s="18"/>
      <c r="B56" s="53" t="s">
        <v>79</v>
      </c>
      <c r="C56" s="42">
        <f t="shared" ref="C56:N56" si="31">180*C22^3.7*EXP(C55)</f>
        <v>5.3114826044910156E-2</v>
      </c>
      <c r="D56" s="42">
        <f t="shared" si="31"/>
        <v>0.35523529627615397</v>
      </c>
      <c r="E56" s="42">
        <f t="shared" si="31"/>
        <v>0.42424672774763872</v>
      </c>
      <c r="F56" s="42">
        <f t="shared" si="31"/>
        <v>0.50256252899129816</v>
      </c>
      <c r="G56" s="42">
        <f t="shared" si="31"/>
        <v>0.59093564078763172</v>
      </c>
      <c r="H56" s="42">
        <f t="shared" si="31"/>
        <v>0.69014297232513677</v>
      </c>
      <c r="I56" s="42">
        <f t="shared" si="31"/>
        <v>0.92428591238187408</v>
      </c>
      <c r="J56" s="42">
        <f t="shared" si="31"/>
        <v>1.2116745089967649</v>
      </c>
      <c r="K56" s="42">
        <f t="shared" si="31"/>
        <v>0.8599402486533354</v>
      </c>
      <c r="L56" s="42">
        <f t="shared" si="31"/>
        <v>0.87231995066116197</v>
      </c>
      <c r="M56" s="42">
        <f t="shared" si="31"/>
        <v>0.88482920052253311</v>
      </c>
      <c r="N56" s="56">
        <f t="shared" si="31"/>
        <v>2.001244138335013</v>
      </c>
    </row>
    <row r="57" spans="1:14" x14ac:dyDescent="0.25">
      <c r="A57" s="18"/>
      <c r="B57" s="53"/>
      <c r="C57" s="42">
        <f t="shared" ref="C57:N57" si="32">C46+1.5*C22^1.8+C47*C22^(C48)</f>
        <v>0.55676704460555493</v>
      </c>
      <c r="D57" s="42">
        <f t="shared" si="32"/>
        <v>0.72725500509168595</v>
      </c>
      <c r="E57" s="42">
        <f t="shared" si="32"/>
        <v>0.77668249641529608</v>
      </c>
      <c r="F57" s="42">
        <f t="shared" si="32"/>
        <v>0.83740585049616012</v>
      </c>
      <c r="G57" s="42">
        <f t="shared" si="32"/>
        <v>0.91162046525415175</v>
      </c>
      <c r="H57" s="42">
        <f t="shared" si="32"/>
        <v>1.0018351715800176</v>
      </c>
      <c r="I57" s="42">
        <f t="shared" si="32"/>
        <v>1.242038591353817</v>
      </c>
      <c r="J57" s="42">
        <f t="shared" si="32"/>
        <v>1.5854626725538501</v>
      </c>
      <c r="K57" s="42">
        <f t="shared" si="32"/>
        <v>1.1723406752069647</v>
      </c>
      <c r="L57" s="42">
        <f t="shared" si="32"/>
        <v>1.1855378726597188</v>
      </c>
      <c r="M57" s="42">
        <f t="shared" si="32"/>
        <v>1.1989763679691017</v>
      </c>
      <c r="N57" s="56">
        <f t="shared" si="32"/>
        <v>2.7728210210823812</v>
      </c>
    </row>
    <row r="58" spans="1:14" x14ac:dyDescent="0.25">
      <c r="A58" s="35"/>
      <c r="B58" s="53"/>
      <c r="C58" s="42">
        <f t="shared" ref="C58:N58" si="33">0.98+2.5/($C13-2)^4</f>
        <v>1.0184314577907001</v>
      </c>
      <c r="D58" s="42">
        <f t="shared" si="33"/>
        <v>1.0184314577907001</v>
      </c>
      <c r="E58" s="42">
        <f t="shared" si="33"/>
        <v>1.0184314577907001</v>
      </c>
      <c r="F58" s="42">
        <f t="shared" si="33"/>
        <v>1.0184314577907001</v>
      </c>
      <c r="G58" s="42">
        <f t="shared" si="33"/>
        <v>1.0184314577907001</v>
      </c>
      <c r="H58" s="42">
        <f t="shared" si="33"/>
        <v>1.0184314577907001</v>
      </c>
      <c r="I58" s="42">
        <f t="shared" si="33"/>
        <v>1.0184314577907001</v>
      </c>
      <c r="J58" s="42">
        <f t="shared" si="33"/>
        <v>1.0184314577907001</v>
      </c>
      <c r="K58" s="42">
        <f t="shared" si="33"/>
        <v>1.0184314577907001</v>
      </c>
      <c r="L58" s="42">
        <f t="shared" si="33"/>
        <v>1.0184314577907001</v>
      </c>
      <c r="M58" s="42">
        <f t="shared" si="33"/>
        <v>1.0184314577907001</v>
      </c>
      <c r="N58" s="56">
        <f t="shared" si="33"/>
        <v>1.0184314577907001</v>
      </c>
    </row>
    <row r="59" spans="1:14" x14ac:dyDescent="0.25">
      <c r="A59" s="35"/>
      <c r="B59" s="53"/>
      <c r="C59" s="42">
        <f t="shared" ref="C59:N59" si="34">($C13-5)^4*(C22-0.1)^4</f>
        <v>1.0494423897724807E-10</v>
      </c>
      <c r="D59" s="42">
        <f t="shared" si="34"/>
        <v>6.7060758466725838E-8</v>
      </c>
      <c r="E59" s="42">
        <f t="shared" si="34"/>
        <v>9.7483124801911939E-8</v>
      </c>
      <c r="F59" s="42">
        <f t="shared" si="34"/>
        <v>1.3724229121356253E-7</v>
      </c>
      <c r="G59" s="42">
        <f t="shared" si="34"/>
        <v>1.8807755403886009E-7</v>
      </c>
      <c r="H59" s="42">
        <f t="shared" si="34"/>
        <v>2.5187685871275862E-7</v>
      </c>
      <c r="I59" s="42">
        <f t="shared" si="34"/>
        <v>4.2666262083502965E-7</v>
      </c>
      <c r="J59" s="42">
        <f t="shared" si="34"/>
        <v>6.7967612301542778E-7</v>
      </c>
      <c r="K59" s="42">
        <f t="shared" si="34"/>
        <v>3.7553498960050694E-7</v>
      </c>
      <c r="L59" s="42">
        <f t="shared" si="34"/>
        <v>3.8519960989623751E-7</v>
      </c>
      <c r="M59" s="42">
        <f t="shared" si="34"/>
        <v>3.9504958445788744E-7</v>
      </c>
      <c r="N59" s="56">
        <f t="shared" si="34"/>
        <v>1.5364886028658923E-6</v>
      </c>
    </row>
    <row r="60" spans="1:14" x14ac:dyDescent="0.25">
      <c r="A60" s="35"/>
      <c r="B60" s="53" t="s">
        <v>80</v>
      </c>
      <c r="C60" s="42">
        <f t="shared" ref="C60:N60" si="35">C57*C58+C59</f>
        <v>0.56702907299239935</v>
      </c>
      <c r="D60" s="42">
        <f t="shared" si="35"/>
        <v>0.74065944208186729</v>
      </c>
      <c r="E60" s="42">
        <f t="shared" si="35"/>
        <v>0.79099798454787495</v>
      </c>
      <c r="F60" s="42">
        <f t="shared" si="35"/>
        <v>0.85284059832555659</v>
      </c>
      <c r="G60" s="42">
        <f t="shared" si="35"/>
        <v>0.92842314745817611</v>
      </c>
      <c r="H60" s="42">
        <f t="shared" si="35"/>
        <v>1.0203007061350922</v>
      </c>
      <c r="I60" s="42">
        <f t="shared" si="35"/>
        <v>1.2649315998873962</v>
      </c>
      <c r="J60" s="42">
        <f t="shared" si="35"/>
        <v>1.6146857405578798</v>
      </c>
      <c r="K60" s="42">
        <f t="shared" si="35"/>
        <v>1.1939489984133522</v>
      </c>
      <c r="L60" s="42">
        <f t="shared" si="35"/>
        <v>1.2073894491185329</v>
      </c>
      <c r="M60" s="42">
        <f t="shared" si="35"/>
        <v>1.2210756453369556</v>
      </c>
      <c r="N60" s="56">
        <f t="shared" si="35"/>
        <v>2.8239296911822303</v>
      </c>
    </row>
    <row r="61" spans="1:14" x14ac:dyDescent="0.25">
      <c r="A61" s="35"/>
      <c r="B61" s="53" t="s">
        <v>81</v>
      </c>
      <c r="C61" s="42">
        <f t="shared" ref="C61:N61" si="36">0.16*($C5/$C6-2.5)</f>
        <v>3.1120234649646861E-2</v>
      </c>
      <c r="D61" s="42">
        <f t="shared" si="36"/>
        <v>3.1120234649646861E-2</v>
      </c>
      <c r="E61" s="42">
        <f t="shared" si="36"/>
        <v>3.1120234649646861E-2</v>
      </c>
      <c r="F61" s="42">
        <f t="shared" si="36"/>
        <v>3.1120234649646861E-2</v>
      </c>
      <c r="G61" s="42">
        <f t="shared" si="36"/>
        <v>3.1120234649646861E-2</v>
      </c>
      <c r="H61" s="42">
        <f t="shared" si="36"/>
        <v>3.1120234649646861E-2</v>
      </c>
      <c r="I61" s="42">
        <f t="shared" si="36"/>
        <v>3.1120234649646861E-2</v>
      </c>
      <c r="J61" s="42">
        <f t="shared" si="36"/>
        <v>3.1120234649646861E-2</v>
      </c>
      <c r="K61" s="42">
        <f t="shared" si="36"/>
        <v>3.1120234649646861E-2</v>
      </c>
      <c r="L61" s="42">
        <f t="shared" si="36"/>
        <v>3.1120234649646861E-2</v>
      </c>
      <c r="M61" s="42">
        <f t="shared" si="36"/>
        <v>3.1120234649646861E-2</v>
      </c>
      <c r="N61" s="56">
        <f t="shared" si="36"/>
        <v>3.1120234649646861E-2</v>
      </c>
    </row>
    <row r="62" spans="1:14" x14ac:dyDescent="0.25">
      <c r="A62" s="35"/>
      <c r="B62" s="53" t="s">
        <v>82</v>
      </c>
      <c r="C62" s="42">
        <f t="shared" ref="C62:N62" si="37">($C15-$C14)/3*0.1</f>
        <v>0</v>
      </c>
      <c r="D62" s="42">
        <f t="shared" si="37"/>
        <v>0</v>
      </c>
      <c r="E62" s="42">
        <f t="shared" si="37"/>
        <v>0</v>
      </c>
      <c r="F62" s="42">
        <f t="shared" si="37"/>
        <v>0</v>
      </c>
      <c r="G62" s="42">
        <f t="shared" si="37"/>
        <v>0</v>
      </c>
      <c r="H62" s="42">
        <f t="shared" si="37"/>
        <v>0</v>
      </c>
      <c r="I62" s="42">
        <f t="shared" si="37"/>
        <v>0</v>
      </c>
      <c r="J62" s="42">
        <f t="shared" si="37"/>
        <v>0</v>
      </c>
      <c r="K62" s="42">
        <f t="shared" si="37"/>
        <v>0</v>
      </c>
      <c r="L62" s="42">
        <f t="shared" si="37"/>
        <v>0</v>
      </c>
      <c r="M62" s="42">
        <f t="shared" si="37"/>
        <v>0</v>
      </c>
      <c r="N62" s="56">
        <f t="shared" si="37"/>
        <v>0</v>
      </c>
    </row>
    <row r="63" spans="1:14" x14ac:dyDescent="0.25">
      <c r="A63" s="35"/>
      <c r="B63" s="53" t="s">
        <v>83</v>
      </c>
      <c r="C63" s="53">
        <f>0.1*C5/C4+0.149</f>
        <v>0.16643404365847386</v>
      </c>
      <c r="D63" s="53" t="s">
        <v>84</v>
      </c>
      <c r="E63" s="53">
        <f>0.625*C5/C4+0.08</f>
        <v>0.18896277286546165</v>
      </c>
      <c r="F63" s="53"/>
      <c r="G63" s="53"/>
      <c r="H63" s="53"/>
      <c r="I63" s="53"/>
      <c r="J63" s="53"/>
      <c r="K63" s="53"/>
      <c r="L63" s="53"/>
      <c r="M63" s="53"/>
      <c r="N63" s="58"/>
    </row>
    <row r="64" spans="1:14" x14ac:dyDescent="0.25">
      <c r="A64" s="35"/>
      <c r="B64" s="53" t="s">
        <v>85</v>
      </c>
      <c r="C64" s="53">
        <f>0.05*C5/C4+0.449</f>
        <v>0.45771702182923696</v>
      </c>
      <c r="D64" s="53" t="s">
        <v>86</v>
      </c>
      <c r="E64" s="53">
        <f>0.165-0.25*C5/C4</f>
        <v>0.12141489085381535</v>
      </c>
      <c r="F64" s="53"/>
      <c r="G64" s="53"/>
      <c r="H64" s="53"/>
      <c r="I64" s="53"/>
      <c r="J64" s="53"/>
      <c r="K64" s="53"/>
      <c r="L64" s="53"/>
      <c r="M64" s="53"/>
      <c r="N64" s="58"/>
    </row>
    <row r="65" spans="1:15" x14ac:dyDescent="0.25">
      <c r="A65" s="35"/>
      <c r="B65" s="53" t="s">
        <v>87</v>
      </c>
      <c r="C65" s="53">
        <f>585-5027*C5/C4+11700*(C5/C4)^2</f>
        <v>64.207302882638999</v>
      </c>
      <c r="D65" s="53" t="s">
        <v>88</v>
      </c>
      <c r="E65" s="53">
        <f>825-8060*C5/C4+20300*(C5/C4)^2</f>
        <v>36.826214046719201</v>
      </c>
      <c r="F65" s="53"/>
      <c r="G65" s="53"/>
      <c r="H65" s="53"/>
      <c r="I65" s="53"/>
      <c r="J65" s="53"/>
      <c r="K65" s="53"/>
      <c r="L65" s="53"/>
      <c r="M65" s="53"/>
      <c r="N65" s="58"/>
    </row>
    <row r="66" spans="1:15" x14ac:dyDescent="0.25">
      <c r="A66" s="35"/>
      <c r="B66" s="53" t="s">
        <v>89</v>
      </c>
      <c r="C66" s="42">
        <f>C63+C64/(C65*(0.98-C11)^3+1)</f>
        <v>0.47176057841555447</v>
      </c>
      <c r="D66" s="42" t="s">
        <v>90</v>
      </c>
      <c r="E66" s="42">
        <f>E63+E64/(E65*(0.98-C11)^3+1)</f>
        <v>0.28335625620592186</v>
      </c>
      <c r="F66" s="42"/>
      <c r="G66" s="42"/>
      <c r="H66" s="53"/>
      <c r="I66" s="53"/>
      <c r="J66" s="53"/>
      <c r="K66" s="53"/>
      <c r="L66" s="53"/>
      <c r="M66" s="53"/>
      <c r="N66" s="58"/>
    </row>
    <row r="67" spans="1:15" x14ac:dyDescent="0.25">
      <c r="A67" s="35"/>
      <c r="B67" s="53" t="s">
        <v>91</v>
      </c>
      <c r="C67" s="42">
        <f>0.025*C15/(100*(C11-0.7)^2+1)</f>
        <v>0</v>
      </c>
      <c r="D67" s="42" t="s">
        <v>92</v>
      </c>
      <c r="E67" s="42">
        <f>-0.01*C15</f>
        <v>0</v>
      </c>
      <c r="F67" s="42"/>
      <c r="G67" s="42"/>
      <c r="H67" s="53"/>
      <c r="I67" s="53"/>
      <c r="J67" s="53"/>
      <c r="K67" s="53"/>
      <c r="L67" s="53"/>
      <c r="M67" s="53"/>
      <c r="N67" s="58"/>
    </row>
    <row r="68" spans="1:15" x14ac:dyDescent="0.25">
      <c r="A68" s="35"/>
      <c r="B68" s="53" t="s">
        <v>93</v>
      </c>
      <c r="C68" s="42">
        <f>0.00756/(C18/C4+0.002)-0.18</f>
        <v>-1.6686165081056942E-2</v>
      </c>
      <c r="D68" s="42" t="s">
        <v>94</v>
      </c>
      <c r="E68" s="42">
        <f>2*(C18/C4-0.04)</f>
        <v>8.5824808872099062E-3</v>
      </c>
      <c r="F68" s="42"/>
      <c r="G68" s="42"/>
      <c r="H68" s="53"/>
      <c r="I68" s="53"/>
      <c r="J68" s="53"/>
      <c r="K68" s="53"/>
      <c r="L68" s="53"/>
      <c r="M68" s="53"/>
      <c r="N68" s="58"/>
    </row>
    <row r="69" spans="1:15" x14ac:dyDescent="0.25">
      <c r="A69" s="35"/>
      <c r="B69" s="53" t="s">
        <v>93</v>
      </c>
      <c r="C69" s="42">
        <f>MIN(0.1,C68)</f>
        <v>-1.6686165081056942E-2</v>
      </c>
      <c r="D69" s="42"/>
      <c r="E69" s="42"/>
      <c r="F69" s="42"/>
      <c r="G69" s="42"/>
      <c r="H69" s="53"/>
      <c r="I69" s="53"/>
      <c r="J69" s="53"/>
      <c r="K69" s="53"/>
      <c r="L69" s="53"/>
      <c r="M69" s="53"/>
      <c r="N69" s="58"/>
    </row>
    <row r="70" spans="1:15" x14ac:dyDescent="0.25">
      <c r="A70" s="35"/>
      <c r="B70" s="53" t="s">
        <v>95</v>
      </c>
      <c r="C70" s="76">
        <f>C66+C67+C69</f>
        <v>0.4550744133344975</v>
      </c>
      <c r="D70" s="42" t="s">
        <v>96</v>
      </c>
      <c r="E70" s="76">
        <f>E66+E67+E68</f>
        <v>0.29193873709313178</v>
      </c>
      <c r="F70" s="42" t="s">
        <v>97</v>
      </c>
      <c r="G70" s="76">
        <f>0.7*C11-0.2</f>
        <v>0.34733474102871281</v>
      </c>
      <c r="H70" s="53"/>
      <c r="I70" s="53"/>
      <c r="J70" s="53"/>
      <c r="K70" s="53"/>
      <c r="L70" s="53"/>
      <c r="M70" s="53"/>
      <c r="N70" s="58"/>
    </row>
    <row r="71" spans="1:15" x14ac:dyDescent="0.25">
      <c r="A71" s="35"/>
      <c r="B71" s="53" t="s">
        <v>98</v>
      </c>
      <c r="C71" s="76">
        <f>1.133*C11^2-0.797*C11+0.215</f>
        <v>0.2845118043042163</v>
      </c>
      <c r="D71" s="42" t="s">
        <v>99</v>
      </c>
      <c r="E71" s="76">
        <f>0.0665+0.62833*C71</f>
        <v>0.24526730199846825</v>
      </c>
      <c r="F71" s="42" t="s">
        <v>100</v>
      </c>
      <c r="G71" s="76">
        <f>0.2*C11+0.06</f>
        <v>0.21638135457963226</v>
      </c>
      <c r="H71" s="53"/>
      <c r="I71" s="53"/>
      <c r="J71" s="53"/>
      <c r="K71" s="53"/>
      <c r="L71" s="53"/>
      <c r="M71" s="53"/>
      <c r="N71" s="58"/>
    </row>
    <row r="72" spans="1:15" x14ac:dyDescent="0.25">
      <c r="A72" s="22" t="s">
        <v>101</v>
      </c>
      <c r="B72" s="53" t="s">
        <v>102</v>
      </c>
      <c r="C72" s="53">
        <f t="shared" ref="C72:N72" si="38">IF(C22&gt;$J9,0,IF($C17=1,0.2,0.1))</f>
        <v>0.2</v>
      </c>
      <c r="D72" s="53">
        <f t="shared" si="38"/>
        <v>0.2</v>
      </c>
      <c r="E72" s="53">
        <f t="shared" si="38"/>
        <v>0.2</v>
      </c>
      <c r="F72" s="53">
        <f t="shared" si="38"/>
        <v>0.2</v>
      </c>
      <c r="G72" s="53">
        <f t="shared" si="38"/>
        <v>0.2</v>
      </c>
      <c r="H72" s="53">
        <f t="shared" si="38"/>
        <v>0.2</v>
      </c>
      <c r="I72" s="53">
        <f t="shared" si="38"/>
        <v>0.2</v>
      </c>
      <c r="J72" s="53">
        <f t="shared" si="38"/>
        <v>0.2</v>
      </c>
      <c r="K72" s="53">
        <f t="shared" si="38"/>
        <v>0.2</v>
      </c>
      <c r="L72" s="53">
        <f t="shared" si="38"/>
        <v>0.2</v>
      </c>
      <c r="M72" s="53">
        <f t="shared" si="38"/>
        <v>0.2</v>
      </c>
      <c r="N72" s="53">
        <f t="shared" si="38"/>
        <v>0.2</v>
      </c>
    </row>
    <row r="73" spans="1:15" x14ac:dyDescent="0.25">
      <c r="A73" s="22"/>
      <c r="B73" s="59" t="s">
        <v>123</v>
      </c>
      <c r="C73" s="67">
        <f>C22</f>
        <v>0.12</v>
      </c>
      <c r="D73" s="67">
        <f>IF(D22&lt;0.12,0.12,D22)</f>
        <v>0.200555877516121</v>
      </c>
      <c r="E73" s="67">
        <f t="shared" ref="E73:M73" si="39">IF(E22&lt;0.12,0.12,E22)</f>
        <v>0.21041363441822353</v>
      </c>
      <c r="F73" s="67">
        <f t="shared" si="39"/>
        <v>0.22027139132032608</v>
      </c>
      <c r="G73" s="67">
        <f t="shared" si="39"/>
        <v>0.23012914822242861</v>
      </c>
      <c r="H73" s="67">
        <f t="shared" si="39"/>
        <v>0.23998690512453114</v>
      </c>
      <c r="I73" s="67">
        <f t="shared" si="39"/>
        <v>0.25970241892873619</v>
      </c>
      <c r="J73" s="67">
        <f t="shared" si="39"/>
        <v>0.27941793273294124</v>
      </c>
      <c r="K73" s="67">
        <f t="shared" si="39"/>
        <v>0.25468669016013873</v>
      </c>
      <c r="L73" s="67">
        <f t="shared" si="39"/>
        <v>0.25567246585034897</v>
      </c>
      <c r="M73" s="67">
        <f t="shared" si="39"/>
        <v>0.25665824154055922</v>
      </c>
      <c r="N73" s="67">
        <f>N22</f>
        <v>0.32</v>
      </c>
      <c r="O73" s="551" t="s">
        <v>482</v>
      </c>
    </row>
    <row r="74" spans="1:15" x14ac:dyDescent="0.25">
      <c r="A74" s="22"/>
      <c r="B74" s="59" t="s">
        <v>103</v>
      </c>
      <c r="C74" s="49">
        <f>C22^2</f>
        <v>1.44E-2</v>
      </c>
      <c r="D74" s="49">
        <f>D73^2</f>
        <v>4.0222660006261332E-2</v>
      </c>
      <c r="E74" s="49">
        <f t="shared" ref="E74:M74" si="40">E73^2</f>
        <v>4.4273897549085818E-2</v>
      </c>
      <c r="F74" s="49">
        <f t="shared" si="40"/>
        <v>4.8519485834192223E-2</v>
      </c>
      <c r="G74" s="49">
        <f t="shared" si="40"/>
        <v>5.2959424861580513E-2</v>
      </c>
      <c r="H74" s="49">
        <f t="shared" si="40"/>
        <v>5.7593714631250709E-2</v>
      </c>
      <c r="I74" s="49">
        <f t="shared" si="40"/>
        <v>6.7445346397436795E-2</v>
      </c>
      <c r="J74" s="49">
        <f t="shared" si="40"/>
        <v>7.8074381132750476E-2</v>
      </c>
      <c r="K74" s="49">
        <f t="shared" si="40"/>
        <v>6.4865310144726504E-2</v>
      </c>
      <c r="L74" s="49">
        <f t="shared" si="40"/>
        <v>6.5368409793997856E-2</v>
      </c>
      <c r="M74" s="49">
        <f t="shared" si="40"/>
        <v>6.5873452950692038E-2</v>
      </c>
      <c r="N74" s="49">
        <f>N22^2</f>
        <v>0.1024</v>
      </c>
    </row>
    <row r="75" spans="1:15" x14ac:dyDescent="0.25">
      <c r="A75" s="22"/>
      <c r="B75" s="59" t="s">
        <v>104</v>
      </c>
      <c r="C75" s="49">
        <f>C22^3</f>
        <v>1.7279999999999999E-3</v>
      </c>
      <c r="D75" s="49">
        <f>D73^3</f>
        <v>8.0668908735883268E-3</v>
      </c>
      <c r="E75" s="49">
        <f t="shared" ref="E75:M75" si="41">E73^3</f>
        <v>9.3158316931632266E-3</v>
      </c>
      <c r="F75" s="49">
        <f t="shared" si="41"/>
        <v>1.0687454650844374E-2</v>
      </c>
      <c r="G75" s="49">
        <f t="shared" si="41"/>
        <v>1.2187507333745233E-2</v>
      </c>
      <c r="H75" s="49">
        <f t="shared" si="41"/>
        <v>1.3821737328979285E-2</v>
      </c>
      <c r="I75" s="49">
        <f t="shared" si="41"/>
        <v>1.7515719604900858E-2</v>
      </c>
      <c r="J75" s="49">
        <f t="shared" si="41"/>
        <v>2.181538217551689E-2</v>
      </c>
      <c r="K75" s="49">
        <f t="shared" si="41"/>
        <v>1.6520331146971264E-2</v>
      </c>
      <c r="L75" s="49">
        <f t="shared" si="41"/>
        <v>1.6712902520747534E-2</v>
      </c>
      <c r="M75" s="49">
        <f t="shared" si="41"/>
        <v>1.6906964598529379E-2</v>
      </c>
      <c r="N75" s="49">
        <f>N22^3</f>
        <v>3.2768000000000005E-2</v>
      </c>
    </row>
    <row r="76" spans="1:15" x14ac:dyDescent="0.25">
      <c r="A76" s="22"/>
      <c r="B76" s="59" t="s">
        <v>105</v>
      </c>
      <c r="C76" s="49">
        <f>C22^4</f>
        <v>2.0735999999999999E-4</v>
      </c>
      <c r="D76" s="49">
        <f>D73^4</f>
        <v>1.6178623779792949E-3</v>
      </c>
      <c r="E76" s="49">
        <f t="shared" ref="E76:M76" si="42">E73^4</f>
        <v>1.9601780041869472E-3</v>
      </c>
      <c r="F76" s="49">
        <f t="shared" si="42"/>
        <v>2.35414050561438E-3</v>
      </c>
      <c r="G76" s="49">
        <f t="shared" si="42"/>
        <v>2.8047006816693922E-3</v>
      </c>
      <c r="H76" s="49">
        <f t="shared" si="42"/>
        <v>3.3170359650259418E-3</v>
      </c>
      <c r="I76" s="49">
        <f t="shared" si="42"/>
        <v>4.5488747506702409E-3</v>
      </c>
      <c r="J76" s="49">
        <f t="shared" si="42"/>
        <v>6.0956089892619837E-3</v>
      </c>
      <c r="K76" s="49">
        <f t="shared" si="42"/>
        <v>4.2075084601715593E-3</v>
      </c>
      <c r="L76" s="49">
        <f t="shared" si="42"/>
        <v>4.2730289989960351E-3</v>
      </c>
      <c r="M76" s="49">
        <f t="shared" si="42"/>
        <v>4.3393118036470371E-3</v>
      </c>
      <c r="N76" s="49">
        <f>N22^4</f>
        <v>1.048576E-2</v>
      </c>
    </row>
    <row r="77" spans="1:15" x14ac:dyDescent="0.25">
      <c r="A77" s="22"/>
      <c r="B77" s="59" t="s">
        <v>106</v>
      </c>
      <c r="C77" s="175">
        <f>C22^5</f>
        <v>2.4883199999999999E-5</v>
      </c>
      <c r="D77" s="175">
        <f>D73^5</f>
        <v>3.2447180891595571E-4</v>
      </c>
      <c r="E77" s="175">
        <f t="shared" ref="E77:M77" si="43">E73^5</f>
        <v>4.124481779676353E-4</v>
      </c>
      <c r="F77" s="175">
        <f t="shared" si="43"/>
        <v>5.1854980453521545E-4</v>
      </c>
      <c r="G77" s="175">
        <f t="shared" si="43"/>
        <v>6.4544337889144209E-4</v>
      </c>
      <c r="H77" s="175">
        <f t="shared" si="43"/>
        <v>7.9604519543333824E-4</v>
      </c>
      <c r="I77" s="175">
        <f t="shared" si="43"/>
        <v>1.1813537761529132E-3</v>
      </c>
      <c r="J77" s="175">
        <f t="shared" si="43"/>
        <v>1.7032224625279169E-3</v>
      </c>
      <c r="K77" s="175">
        <f t="shared" si="43"/>
        <v>1.0715964035418763E-3</v>
      </c>
      <c r="L77" s="175">
        <f t="shared" si="43"/>
        <v>1.0924958608233646E-3</v>
      </c>
      <c r="M77" s="175">
        <f t="shared" si="43"/>
        <v>1.113720137020241E-3</v>
      </c>
      <c r="N77" s="175">
        <f>N22^5</f>
        <v>3.3554432000000001E-3</v>
      </c>
    </row>
    <row r="78" spans="1:15" x14ac:dyDescent="0.25">
      <c r="A78" s="176"/>
      <c r="B78" s="177" t="s">
        <v>258</v>
      </c>
      <c r="C78" s="178">
        <f>C22^6</f>
        <v>2.9859839999999999E-6</v>
      </c>
      <c r="D78" s="178">
        <f>D73^6</f>
        <v>6.5074728366382636E-5</v>
      </c>
      <c r="E78" s="178">
        <f t="shared" ref="E78:M78" si="44">E73^6</f>
        <v>8.678472013534441E-5</v>
      </c>
      <c r="F78" s="178">
        <f t="shared" si="44"/>
        <v>1.1422168691385502E-4</v>
      </c>
      <c r="G78" s="178">
        <f t="shared" si="44"/>
        <v>1.4853533501009382E-4</v>
      </c>
      <c r="H78" s="178">
        <f t="shared" si="44"/>
        <v>1.9104042279129941E-4</v>
      </c>
      <c r="I78" s="178">
        <f t="shared" si="44"/>
        <v>3.068004332775083E-4</v>
      </c>
      <c r="J78" s="178">
        <f t="shared" si="44"/>
        <v>4.7591089946386002E-4</v>
      </c>
      <c r="K78" s="178">
        <f t="shared" si="44"/>
        <v>2.7292134120558882E-4</v>
      </c>
      <c r="L78" s="178">
        <f t="shared" si="44"/>
        <v>2.7932111066800928E-4</v>
      </c>
      <c r="M78" s="178">
        <f t="shared" si="44"/>
        <v>2.8584545193592571E-4</v>
      </c>
      <c r="N78" s="178">
        <f>N22^6</f>
        <v>1.073741824E-3</v>
      </c>
    </row>
    <row r="79" spans="1:15" x14ac:dyDescent="0.25">
      <c r="A79" s="75" t="s">
        <v>228</v>
      </c>
      <c r="B79" s="161" t="s">
        <v>210</v>
      </c>
      <c r="C79" s="162">
        <f xml:space="preserve"> 81963.95967*C77 - 69372.12684*C76 + 23700.28578*C75 - 4016.65661*C74 + 339.10948*C73 - 10.91</f>
        <v>0.55189762355814054</v>
      </c>
      <c r="D79" s="162">
        <f xml:space="preserve"> 81963.95967*D77 - 69372.12684*D76 + 23700.28578*D75 - 4016.65661*D74 + 339.10948*D73 - 10.91</f>
        <v>1.087845374816137</v>
      </c>
      <c r="E79" s="162">
        <f t="shared" ref="E79:N79" si="45" xml:space="preserve"> 81963.95967*E77 - 69372.12684*E76 + 23700.28578*E75 - 4016.65661*E74 + 339.10948*E73 - 10.91</f>
        <v>1.2222570072945409</v>
      </c>
      <c r="F79" s="162">
        <f t="shared" si="45"/>
        <v>1.3863944767527805</v>
      </c>
      <c r="G79" s="162">
        <f t="shared" si="45"/>
        <v>1.5916022498159741</v>
      </c>
      <c r="H79" s="162">
        <f t="shared" si="45"/>
        <v>1.8539613037990925</v>
      </c>
      <c r="I79" s="162">
        <f t="shared" si="45"/>
        <v>2.6436331769910133</v>
      </c>
      <c r="J79" s="162">
        <f t="shared" si="45"/>
        <v>4.0135800404393187</v>
      </c>
      <c r="K79" s="162">
        <f t="shared" si="45"/>
        <v>2.4000374970930629</v>
      </c>
      <c r="L79" s="162">
        <f t="shared" si="45"/>
        <v>2.4452445823952864</v>
      </c>
      <c r="M79" s="162">
        <f t="shared" si="45"/>
        <v>2.4917188195839337</v>
      </c>
      <c r="N79" s="162">
        <f t="shared" si="45"/>
        <v>10.516299561017544</v>
      </c>
    </row>
    <row r="80" spans="1:15" x14ac:dyDescent="0.25">
      <c r="A80" s="75" t="s">
        <v>229</v>
      </c>
      <c r="B80" s="161" t="s">
        <v>107</v>
      </c>
      <c r="C80" s="162">
        <f t="shared" ref="C80:N80" si="46" xml:space="preserve"> 211855.99746*C77 - 178462.85551*C76 + 59866.35075*C75 - 9901.7271*C74 + 808.21686*C73 - 25.47</f>
        <v>0.64580449344308022</v>
      </c>
      <c r="D80" s="162">
        <f t="shared" si="46"/>
        <v>1.2971163919089577</v>
      </c>
      <c r="E80" s="162">
        <f t="shared" si="46"/>
        <v>1.4672996059516947</v>
      </c>
      <c r="F80" s="162">
        <f t="shared" si="46"/>
        <v>1.6805023992246504</v>
      </c>
      <c r="G80" s="162">
        <f t="shared" si="46"/>
        <v>1.9622323661057521</v>
      </c>
      <c r="H80" s="162">
        <f t="shared" si="46"/>
        <v>2.3504316118592783</v>
      </c>
      <c r="I80" s="162">
        <f t="shared" si="46"/>
        <v>3.6743781123092276</v>
      </c>
      <c r="J80" s="162">
        <f t="shared" si="46"/>
        <v>6.2944972070279732</v>
      </c>
      <c r="K80" s="162">
        <f t="shared" si="46"/>
        <v>3.2455672080217823</v>
      </c>
      <c r="L80" s="162">
        <f t="shared" si="46"/>
        <v>3.3239706323090275</v>
      </c>
      <c r="M80" s="162">
        <f t="shared" si="46"/>
        <v>3.4051516845951539</v>
      </c>
      <c r="N80" s="162">
        <f t="shared" si="46"/>
        <v>20.475215799836889</v>
      </c>
    </row>
    <row r="81" spans="1:14" x14ac:dyDescent="0.25">
      <c r="A81" s="75" t="s">
        <v>230</v>
      </c>
      <c r="B81" s="161" t="s">
        <v>108</v>
      </c>
      <c r="C81" s="162">
        <f t="shared" ref="C81:N81" si="47" xml:space="preserve"> 189330.79305*C77 - 133987.07846*C76 + 36767.07838*C75 - 4746.53331*C74 + 281.6148*C73 - 5.18</f>
        <v>0.72480317679617201</v>
      </c>
      <c r="D81" s="162">
        <f t="shared" si="47"/>
        <v>1.6371683597634004</v>
      </c>
      <c r="E81" s="162">
        <f t="shared" si="47"/>
        <v>1.8945947151956446</v>
      </c>
      <c r="F81" s="162">
        <f t="shared" si="47"/>
        <v>2.2518480435762882</v>
      </c>
      <c r="G81" s="162">
        <f t="shared" si="47"/>
        <v>2.7617937662673953</v>
      </c>
      <c r="H81" s="162">
        <f t="shared" si="47"/>
        <v>3.4941891222147134</v>
      </c>
      <c r="I81" s="162">
        <f t="shared" si="47"/>
        <v>6.0025062705793104</v>
      </c>
      <c r="J81" s="162">
        <f t="shared" si="47"/>
        <v>10.753060540907192</v>
      </c>
      <c r="K81" s="162">
        <f t="shared" si="47"/>
        <v>5.1969269289227853</v>
      </c>
      <c r="L81" s="162">
        <f t="shared" si="47"/>
        <v>5.3448487478289834</v>
      </c>
      <c r="M81" s="162">
        <f t="shared" si="47"/>
        <v>5.4977189267708368</v>
      </c>
      <c r="N81" s="162">
        <f t="shared" si="47"/>
        <v>34.007723669340471</v>
      </c>
    </row>
    <row r="82" spans="1:14" x14ac:dyDescent="0.25">
      <c r="A82" s="75" t="s">
        <v>231</v>
      </c>
      <c r="B82" s="161" t="s">
        <v>109</v>
      </c>
      <c r="C82" s="162">
        <f t="shared" ref="C82:N82" si="48" xml:space="preserve"> -183277.76453*C77 + 217604.57034*C76 - 91711.5592*C75 + 18157.61937*C74 - 1715.03079*C73 + 63.08</f>
        <v>0.83039626574954184</v>
      </c>
      <c r="D82" s="162">
        <f t="shared" si="48"/>
        <v>2.2268853122767069</v>
      </c>
      <c r="E82" s="162">
        <f t="shared" si="48"/>
        <v>2.7043805834831716</v>
      </c>
      <c r="F82" s="162">
        <f t="shared" si="48"/>
        <v>3.3760918981669903</v>
      </c>
      <c r="G82" s="162">
        <f t="shared" si="48"/>
        <v>4.303470626604863</v>
      </c>
      <c r="H82" s="162">
        <f t="shared" si="48"/>
        <v>5.5515376876649754</v>
      </c>
      <c r="I82" s="162">
        <f t="shared" si="48"/>
        <v>9.275384424423649</v>
      </c>
      <c r="J82" s="162">
        <f t="shared" si="48"/>
        <v>15.061393020704841</v>
      </c>
      <c r="K82" s="162">
        <f t="shared" si="48"/>
        <v>8.152045866060817</v>
      </c>
      <c r="L82" s="162">
        <f t="shared" si="48"/>
        <v>8.3626440845626604</v>
      </c>
      <c r="M82" s="162">
        <f t="shared" si="48"/>
        <v>8.5781574254110211</v>
      </c>
      <c r="N82" s="162">
        <f t="shared" si="48"/>
        <v>35.17716960736864</v>
      </c>
    </row>
    <row r="83" spans="1:14" x14ac:dyDescent="0.25">
      <c r="A83" s="75" t="s">
        <v>232</v>
      </c>
      <c r="B83" s="161" t="s">
        <v>211</v>
      </c>
      <c r="C83" s="162">
        <f xml:space="preserve"> 108656.82305*C77 - 92884.66951*C76 + 31771.52118*C75 - 5373.60627*C74 + 450.34486*C73 - 14.5</f>
        <v>0.50580590076415888</v>
      </c>
      <c r="D83" s="162">
        <f xml:space="preserve"> 108656.82305*D77 - 92884.66951*D76 + 31771.52118*D75 - 5373.60627*D74 + 450.34486*D73 - 14.5</f>
        <v>0.95742845823563982</v>
      </c>
      <c r="E83" s="162">
        <f t="shared" ref="E83:N83" si="49" xml:space="preserve"> 108656.82305*E77 - 92884.66951*E76 + 31771.52118*E75 - 5373.60627*E74 + 450.34486*E73 - 14.5</f>
        <v>1.0711718067598213</v>
      </c>
      <c r="F83" s="162">
        <f t="shared" si="49"/>
        <v>1.2105788998564577</v>
      </c>
      <c r="G83" s="162">
        <f t="shared" si="49"/>
        <v>1.3881600495262205</v>
      </c>
      <c r="H83" s="162">
        <f t="shared" si="49"/>
        <v>1.6224960029069848</v>
      </c>
      <c r="I83" s="162">
        <f t="shared" si="49"/>
        <v>2.3733899770909801</v>
      </c>
      <c r="J83" s="162">
        <f t="shared" si="49"/>
        <v>3.7794379519140904</v>
      </c>
      <c r="K83" s="162">
        <f t="shared" si="49"/>
        <v>2.1354834785470587</v>
      </c>
      <c r="L83" s="162">
        <f t="shared" si="49"/>
        <v>2.1792635814284438</v>
      </c>
      <c r="M83" s="162">
        <f t="shared" si="49"/>
        <v>2.2244529565598157</v>
      </c>
      <c r="N83" s="162">
        <f t="shared" si="49"/>
        <v>11.067725053788109</v>
      </c>
    </row>
    <row r="84" spans="1:14" x14ac:dyDescent="0.25">
      <c r="A84" s="75" t="s">
        <v>233</v>
      </c>
      <c r="B84" s="161" t="s">
        <v>110</v>
      </c>
      <c r="C84" s="162">
        <f t="shared" ref="C84:N84" si="50" xml:space="preserve"> 236068.11145*C77 - 206198.08468*C76 + 71647.62804*C75 - 12274.26804*C74 + 1036.91016*C73 - 34.06</f>
        <v>0.54375586870779102</v>
      </c>
      <c r="D84" s="162">
        <f t="shared" si="50"/>
        <v>1.1656371300628621</v>
      </c>
      <c r="E84" s="162">
        <f t="shared" si="50"/>
        <v>1.3285060214050475</v>
      </c>
      <c r="F84" s="162">
        <f t="shared" si="50"/>
        <v>1.5250545676922229</v>
      </c>
      <c r="G84" s="162">
        <f t="shared" si="50"/>
        <v>1.7757589335439832</v>
      </c>
      <c r="H84" s="162">
        <f t="shared" si="50"/>
        <v>2.1132875124019961</v>
      </c>
      <c r="I84" s="162">
        <f t="shared" si="50"/>
        <v>3.2562739891955061</v>
      </c>
      <c r="J84" s="162">
        <f t="shared" si="50"/>
        <v>5.5594114825370866</v>
      </c>
      <c r="K84" s="162">
        <f t="shared" si="50"/>
        <v>2.8851080040103056</v>
      </c>
      <c r="L84" s="162">
        <f t="shared" si="50"/>
        <v>2.9528568441201628</v>
      </c>
      <c r="M84" s="162">
        <f t="shared" si="50"/>
        <v>3.0230575937658841</v>
      </c>
      <c r="N84" s="162">
        <f t="shared" si="50"/>
        <v>18.585190406308016</v>
      </c>
    </row>
    <row r="85" spans="1:14" x14ac:dyDescent="0.25">
      <c r="A85" s="75" t="s">
        <v>234</v>
      </c>
      <c r="B85" s="161" t="s">
        <v>111</v>
      </c>
      <c r="C85" s="162">
        <f t="shared" ref="C85:N85" si="51" xml:space="preserve"> 153905.69184*C77 - 114943.493048*C76 + 33802.921153*C75 - 4780.049092*C74 + 322.837994*C73 - 7.67</f>
        <v>0.64428350034379811</v>
      </c>
      <c r="D85" s="162">
        <f t="shared" si="51"/>
        <v>1.4705491291241106</v>
      </c>
      <c r="E85" s="162">
        <f t="shared" si="51"/>
        <v>1.6988514467864793</v>
      </c>
      <c r="F85" s="162">
        <f t="shared" si="51"/>
        <v>1.9982703715486299</v>
      </c>
      <c r="G85" s="162">
        <f t="shared" si="51"/>
        <v>2.4044477714647758</v>
      </c>
      <c r="H85" s="162">
        <f t="shared" si="51"/>
        <v>2.9653909907691247</v>
      </c>
      <c r="I85" s="162">
        <f t="shared" si="51"/>
        <v>4.8157468464505957</v>
      </c>
      <c r="J85" s="162">
        <f t="shared" si="51"/>
        <v>8.2460358228493238</v>
      </c>
      <c r="K85" s="162">
        <f t="shared" si="51"/>
        <v>4.2276908919576801</v>
      </c>
      <c r="L85" s="162">
        <f t="shared" si="51"/>
        <v>4.3359565138337519</v>
      </c>
      <c r="M85" s="162">
        <f t="shared" si="51"/>
        <v>4.4476962079445901</v>
      </c>
      <c r="N85" s="162">
        <f t="shared" si="51"/>
        <v>24.967176863531179</v>
      </c>
    </row>
    <row r="86" spans="1:14" x14ac:dyDescent="0.25">
      <c r="A86" s="75" t="s">
        <v>235</v>
      </c>
      <c r="B86" s="161" t="s">
        <v>112</v>
      </c>
      <c r="C86" s="162">
        <f t="shared" ref="C86:N86" si="52">-9980220.15991*C78 + 10826099.46985*C77 - 4792166.95182*C76 + 1110018.19846*C75 - 141933.11234*C74 + 9505.46225*C73 - 260.06</f>
        <v>0.75358072768784723</v>
      </c>
      <c r="D86" s="162">
        <f t="shared" si="52"/>
        <v>2.0220183348944261</v>
      </c>
      <c r="E86" s="162">
        <f t="shared" si="52"/>
        <v>2.4036335052211939</v>
      </c>
      <c r="F86" s="162">
        <f t="shared" si="52"/>
        <v>2.9487696069926983</v>
      </c>
      <c r="G86" s="162">
        <f t="shared" si="52"/>
        <v>3.7078276993988197</v>
      </c>
      <c r="H86" s="162">
        <f t="shared" si="52"/>
        <v>4.7001275836386753</v>
      </c>
      <c r="I86" s="162">
        <f t="shared" si="52"/>
        <v>7.1215052043993978</v>
      </c>
      <c r="J86" s="162">
        <f t="shared" si="52"/>
        <v>8.4522204608001061</v>
      </c>
      <c r="K86" s="162">
        <f t="shared" si="52"/>
        <v>6.4987772488843234</v>
      </c>
      <c r="L86" s="162">
        <f t="shared" si="52"/>
        <v>6.6233955825595672</v>
      </c>
      <c r="M86" s="162">
        <f t="shared" si="52"/>
        <v>6.7472371742905466</v>
      </c>
      <c r="N86" s="162">
        <f t="shared" si="52"/>
        <v>-18.516942986341803</v>
      </c>
    </row>
    <row r="87" spans="1:14" x14ac:dyDescent="0.25">
      <c r="A87" s="75" t="s">
        <v>236</v>
      </c>
      <c r="B87" s="161" t="s">
        <v>212</v>
      </c>
      <c r="C87" s="162">
        <f xml:space="preserve"> 12205.28697*C77 - 8294.72385*C76 + 2539.32664*C75 - 405.17899*C74 + 34.1222*C73 - 0.78</f>
        <v>0.45175563711590416</v>
      </c>
      <c r="D87" s="162">
        <f t="shared" ref="D87:N87" si="53" xml:space="preserve"> 12205.28697*D77 - 8294.72385*D76 + 2539.32664*D75 - 405.17899*D74 + 34.1222*D73 - 0.78</f>
        <v>0.7910517934576069</v>
      </c>
      <c r="E87" s="162">
        <f t="shared" si="53"/>
        <v>0.89177574702287843</v>
      </c>
      <c r="F87" s="162">
        <f t="shared" si="53"/>
        <v>1.0181102863931939</v>
      </c>
      <c r="G87" s="162">
        <f t="shared" si="53"/>
        <v>1.1761326187560395</v>
      </c>
      <c r="H87" s="162">
        <f t="shared" si="53"/>
        <v>1.3730865809066171</v>
      </c>
      <c r="I87" s="162">
        <f t="shared" si="53"/>
        <v>1.9194159231437713</v>
      </c>
      <c r="J87" s="162">
        <f t="shared" si="53"/>
        <v>2.7435624775257983</v>
      </c>
      <c r="K87" s="162">
        <f t="shared" si="53"/>
        <v>1.7579471592178486</v>
      </c>
      <c r="L87" s="162">
        <f t="shared" si="53"/>
        <v>1.7883493038302902</v>
      </c>
      <c r="M87" s="162">
        <f t="shared" si="53"/>
        <v>1.8193910880060724</v>
      </c>
      <c r="N87" s="162">
        <f t="shared" si="53"/>
        <v>5.8350943736791239</v>
      </c>
    </row>
    <row r="88" spans="1:14" x14ac:dyDescent="0.25">
      <c r="A88" s="75" t="s">
        <v>237</v>
      </c>
      <c r="B88" s="161" t="s">
        <v>113</v>
      </c>
      <c r="C88" s="162">
        <f t="shared" ref="C88:N88" si="54" xml:space="preserve"> 78193.22061*C77 - 62747.6239*C76 + 20041.29771*C75 - 3113.11297*C74 + 235.21739*C73 - 6.47</f>
        <v>0.49297273005874853</v>
      </c>
      <c r="D88" s="162">
        <f t="shared" si="54"/>
        <v>1.0119828176615036</v>
      </c>
      <c r="E88" s="162">
        <f t="shared" si="54"/>
        <v>1.1487967809367055</v>
      </c>
      <c r="F88" s="162">
        <f t="shared" si="54"/>
        <v>1.315837738824384</v>
      </c>
      <c r="G88" s="162">
        <f t="shared" si="54"/>
        <v>1.5261609973303001</v>
      </c>
      <c r="H88" s="162">
        <f t="shared" si="54"/>
        <v>1.7981185138667461</v>
      </c>
      <c r="I88" s="162">
        <f t="shared" si="54"/>
        <v>2.6320681417210769</v>
      </c>
      <c r="J88" s="162">
        <f t="shared" si="54"/>
        <v>4.1036266251934128</v>
      </c>
      <c r="K88" s="162">
        <f t="shared" si="54"/>
        <v>2.3729905689421136</v>
      </c>
      <c r="L88" s="162">
        <f t="shared" si="54"/>
        <v>2.4209740888007607</v>
      </c>
      <c r="M88" s="162">
        <f t="shared" si="54"/>
        <v>2.4703511609818198</v>
      </c>
      <c r="N88" s="162">
        <f t="shared" si="54"/>
        <v>11.146425629540445</v>
      </c>
    </row>
    <row r="89" spans="1:14" x14ac:dyDescent="0.25">
      <c r="A89" s="75" t="s">
        <v>238</v>
      </c>
      <c r="B89" s="161" t="s">
        <v>114</v>
      </c>
      <c r="C89" s="162">
        <f t="shared" ref="C89:N89" si="55" xml:space="preserve"> 112229.10217*C77 - 90275.82325*C76 + 29064.78003*C75 - 4576.65461*C74 + 352.54132*C73 - 10.15</f>
        <v>0.54809639383654307</v>
      </c>
      <c r="D89" s="162">
        <f t="shared" si="55"/>
        <v>1.2927419328623753</v>
      </c>
      <c r="E89" s="162">
        <f t="shared" si="55"/>
        <v>1.4977677218398124</v>
      </c>
      <c r="F89" s="162">
        <f t="shared" si="55"/>
        <v>1.7507638467177795</v>
      </c>
      <c r="G89" s="162">
        <f t="shared" si="55"/>
        <v>2.0711254254436877</v>
      </c>
      <c r="H89" s="162">
        <f t="shared" si="55"/>
        <v>2.4858009180522824</v>
      </c>
      <c r="I89" s="162">
        <f t="shared" si="55"/>
        <v>3.7511761119417084</v>
      </c>
      <c r="J89" s="162">
        <f t="shared" si="55"/>
        <v>5.9611827545826994</v>
      </c>
      <c r="K89" s="162">
        <f t="shared" si="55"/>
        <v>3.3592642267998993</v>
      </c>
      <c r="L89" s="162">
        <f t="shared" si="55"/>
        <v>3.4319289239840511</v>
      </c>
      <c r="M89" s="162">
        <f t="shared" si="55"/>
        <v>3.5066658031908329</v>
      </c>
      <c r="N89" s="162">
        <f t="shared" si="55"/>
        <v>16.376263675551918</v>
      </c>
    </row>
    <row r="90" spans="1:14" x14ac:dyDescent="0.25">
      <c r="A90" s="75" t="s">
        <v>239</v>
      </c>
      <c r="B90" s="161" t="s">
        <v>115</v>
      </c>
      <c r="C90" s="162">
        <f t="shared" ref="C90:N90" si="56" xml:space="preserve"> -6333849.33191*C78 + 7003086.05505*C77 - 3170231.50477*C76 + 753388.16765*C75 - 99065.81153*C74 + 6833.52117*C73 - 192.64</f>
        <v>0.65682139961882058</v>
      </c>
      <c r="D90" s="162">
        <f t="shared" si="56"/>
        <v>1.8047076804729159</v>
      </c>
      <c r="E90" s="162">
        <f t="shared" si="56"/>
        <v>2.1444824813846708</v>
      </c>
      <c r="F90" s="162">
        <f t="shared" si="56"/>
        <v>2.5844048789548424</v>
      </c>
      <c r="G90" s="162">
        <f t="shared" si="56"/>
        <v>3.1524536708576534</v>
      </c>
      <c r="H90" s="162">
        <f t="shared" si="56"/>
        <v>3.8607120223729225</v>
      </c>
      <c r="I90" s="162">
        <f t="shared" si="56"/>
        <v>5.5582917582315758</v>
      </c>
      <c r="J90" s="162">
        <f t="shared" si="56"/>
        <v>6.6911206286437164</v>
      </c>
      <c r="K90" s="162">
        <f t="shared" si="56"/>
        <v>5.1176096866255421</v>
      </c>
      <c r="L90" s="162">
        <f t="shared" si="56"/>
        <v>5.2051940514860462</v>
      </c>
      <c r="M90" s="162">
        <f t="shared" si="56"/>
        <v>5.2924786670497497</v>
      </c>
      <c r="N90" s="162">
        <f t="shared" si="56"/>
        <v>-7.9770043277518425</v>
      </c>
    </row>
    <row r="91" spans="1:14" x14ac:dyDescent="0.25">
      <c r="A91" s="75" t="s">
        <v>240</v>
      </c>
      <c r="B91" s="161" t="s">
        <v>213</v>
      </c>
      <c r="C91" s="162">
        <f xml:space="preserve"> 53881.87664*C77 - 47719.69516*C76 + 17198.62503*C75 - 3090.1397*C74 + 275.82793*C73 - 9.37</f>
        <v>0.39616149627084063</v>
      </c>
      <c r="D91" s="162">
        <f t="shared" ref="D91:N91" si="57" xml:space="preserve"> 53881.87664*D77 - 47719.69516*D76 + 17198.62503*D75 - 3090.1397*D74 + 275.82793*D73 - 9.37</f>
        <v>0.67395580559207069</v>
      </c>
      <c r="E91" s="162">
        <f t="shared" si="57"/>
        <v>0.7593098950034527</v>
      </c>
      <c r="F91" s="162">
        <f t="shared" si="57"/>
        <v>0.86610687921854712</v>
      </c>
      <c r="G91" s="162">
        <f t="shared" si="57"/>
        <v>1.0006329916038847</v>
      </c>
      <c r="H91" s="162">
        <f t="shared" si="57"/>
        <v>1.1718087337850331</v>
      </c>
      <c r="I91" s="162">
        <f t="shared" si="57"/>
        <v>1.6765737733087942</v>
      </c>
      <c r="J91" s="162">
        <f t="shared" si="57"/>
        <v>2.5273230564924685</v>
      </c>
      <c r="K91" s="162">
        <f t="shared" si="57"/>
        <v>1.5224174035820734</v>
      </c>
      <c r="L91" s="162">
        <f t="shared" si="57"/>
        <v>1.5511183611388244</v>
      </c>
      <c r="M91" s="162">
        <f t="shared" si="57"/>
        <v>1.58057842833019</v>
      </c>
      <c r="N91" s="162">
        <f t="shared" si="57"/>
        <v>6.4494831570452842</v>
      </c>
    </row>
    <row r="92" spans="1:14" x14ac:dyDescent="0.25">
      <c r="A92" s="75" t="s">
        <v>241</v>
      </c>
      <c r="B92" s="161" t="s">
        <v>116</v>
      </c>
      <c r="C92" s="162">
        <f t="shared" ref="C92:N92" si="58" xml:space="preserve"> -13296.8167*C77 + 17338.63401*C76 - 7542.52455*C75 + 1552.59022*C74 - 152.78609*C73 + 6.19</f>
        <v>0.4439577446041616</v>
      </c>
      <c r="D92" s="162">
        <f t="shared" si="58"/>
        <v>0.88951922254693638</v>
      </c>
      <c r="E92" s="162">
        <f t="shared" si="58"/>
        <v>1.0186157895562102</v>
      </c>
      <c r="F92" s="162">
        <f t="shared" si="58"/>
        <v>1.1786044201359642</v>
      </c>
      <c r="G92" s="162">
        <f t="shared" si="58"/>
        <v>1.3765154046159322</v>
      </c>
      <c r="H92" s="162">
        <f t="shared" si="58"/>
        <v>1.6199896042941857</v>
      </c>
      <c r="I92" s="162">
        <f t="shared" si="58"/>
        <v>2.2763527584712007</v>
      </c>
      <c r="J92" s="162">
        <f t="shared" si="58"/>
        <v>3.2153879839665107</v>
      </c>
      <c r="K92" s="162">
        <f t="shared" si="58"/>
        <v>2.0852876638174349</v>
      </c>
      <c r="L92" s="162">
        <f t="shared" si="58"/>
        <v>2.1214485215167072</v>
      </c>
      <c r="M92" s="162">
        <f t="shared" si="58"/>
        <v>2.1582807688801848</v>
      </c>
      <c r="N92" s="162">
        <f t="shared" si="58"/>
        <v>6.3222870526361516</v>
      </c>
    </row>
    <row r="93" spans="1:14" x14ac:dyDescent="0.25">
      <c r="A93" s="75" t="s">
        <v>242</v>
      </c>
      <c r="B93" s="161" t="s">
        <v>117</v>
      </c>
      <c r="C93" s="162">
        <f t="shared" ref="C93:N93" si="59" xml:space="preserve"> 57255.69581*C77 - 44678.74747*C76 + 14023.41918*C75 - 2111.06396*C74 + 151.68701*C73 - 3.73</f>
        <v>0.46570837364019413</v>
      </c>
      <c r="D93" s="162">
        <f t="shared" si="59"/>
        <v>1.1983002467022499</v>
      </c>
      <c r="E93" s="162">
        <f t="shared" si="59"/>
        <v>1.3985077968695454</v>
      </c>
      <c r="F93" s="162">
        <f t="shared" si="59"/>
        <v>1.6391080832179239</v>
      </c>
      <c r="G93" s="162">
        <f t="shared" si="59"/>
        <v>1.9321896196733346</v>
      </c>
      <c r="H93" s="162">
        <f t="shared" si="59"/>
        <v>2.294006487507215</v>
      </c>
      <c r="I93" s="162">
        <f t="shared" si="59"/>
        <v>3.3135278201425504</v>
      </c>
      <c r="J93" s="162">
        <f t="shared" si="59"/>
        <v>4.9353198713205337</v>
      </c>
      <c r="K93" s="162">
        <f t="shared" si="59"/>
        <v>3.0081624252116055</v>
      </c>
      <c r="L93" s="162">
        <f t="shared" si="59"/>
        <v>3.0653627113238895</v>
      </c>
      <c r="M93" s="162">
        <f t="shared" si="59"/>
        <v>3.1239055467477255</v>
      </c>
      <c r="N93" s="162">
        <f t="shared" si="59"/>
        <v>11.783905482145865</v>
      </c>
    </row>
    <row r="94" spans="1:14" x14ac:dyDescent="0.25">
      <c r="A94" s="75" t="s">
        <v>243</v>
      </c>
      <c r="B94" s="161" t="s">
        <v>118</v>
      </c>
      <c r="C94" s="162">
        <f t="shared" ref="C94:N94" si="60" xml:space="preserve"> 143089.62452*C77 - 117343.50532*C76 + 38649.35375*C75 - 6217.22547*C74 + 488.33352*C73 - 14.52</f>
        <v>0.56623739370087023</v>
      </c>
      <c r="D94" s="162">
        <f t="shared" si="60"/>
        <v>1.7078371456877299</v>
      </c>
      <c r="E94" s="162">
        <f t="shared" si="60"/>
        <v>2.0249986945134388</v>
      </c>
      <c r="F94" s="162">
        <f t="shared" si="60"/>
        <v>2.4085341279500589</v>
      </c>
      <c r="G94" s="162">
        <f t="shared" si="60"/>
        <v>2.8812155267461854</v>
      </c>
      <c r="H94" s="162">
        <f t="shared" si="60"/>
        <v>3.4749367901988215</v>
      </c>
      <c r="I94" s="162">
        <f t="shared" si="60"/>
        <v>5.2082738782085691</v>
      </c>
      <c r="J94" s="162">
        <f t="shared" si="60"/>
        <v>8.1068713796197578</v>
      </c>
      <c r="K94" s="162">
        <f t="shared" si="60"/>
        <v>4.6804477579457675</v>
      </c>
      <c r="L94" s="162">
        <f t="shared" si="60"/>
        <v>4.7787960634418134</v>
      </c>
      <c r="M94" s="162">
        <f t="shared" si="60"/>
        <v>4.8797071641054082</v>
      </c>
      <c r="N94" s="162">
        <f t="shared" si="60"/>
        <v>21.258135193944394</v>
      </c>
    </row>
    <row r="95" spans="1:14" x14ac:dyDescent="0.25">
      <c r="A95" s="75" t="s">
        <v>244</v>
      </c>
      <c r="B95" s="161" t="s">
        <v>214</v>
      </c>
      <c r="C95" s="162">
        <f xml:space="preserve"> 30265.1424899999*C77 - 26816.90085*C76 + 9821.16503*C75 - 1803.67859*C74 + 165.46921*C73 - 5.71</f>
        <v>0.33664770919116993</v>
      </c>
      <c r="D95" s="162">
        <f xml:space="preserve"> 30265.1424899999*D77 - 26816.90085*D76 + 9821.16503*D75 - 1803.67859*D74 + 165.46921*D73 - 5.71</f>
        <v>0.58746902743175244</v>
      </c>
      <c r="E95" s="162">
        <f t="shared" ref="E95:N95" si="61" xml:space="preserve"> 30265.1424899999*E77 - 26816.90085*E76 + 9821.16503*E75 - 1803.67859*E74 + 165.46921*E73 - 5.71</f>
        <v>0.6603208948321333</v>
      </c>
      <c r="F95" s="162">
        <f t="shared" si="61"/>
        <v>0.75106238340823328</v>
      </c>
      <c r="G95" s="162">
        <f t="shared" si="61"/>
        <v>0.86408415895988444</v>
      </c>
      <c r="H95" s="162">
        <f t="shared" si="61"/>
        <v>1.0052535898464976</v>
      </c>
      <c r="I95" s="162">
        <f t="shared" si="61"/>
        <v>1.4049168605493927</v>
      </c>
      <c r="J95" s="162">
        <f t="shared" si="61"/>
        <v>2.039372085951336</v>
      </c>
      <c r="K95" s="162">
        <f t="shared" si="61"/>
        <v>1.2852134642233404</v>
      </c>
      <c r="L95" s="162">
        <f t="shared" si="61"/>
        <v>1.3076414240963254</v>
      </c>
      <c r="M95" s="162">
        <f t="shared" si="61"/>
        <v>1.3305934549572109</v>
      </c>
      <c r="N95" s="162">
        <f t="shared" si="61"/>
        <v>4.7207755952452795</v>
      </c>
    </row>
    <row r="96" spans="1:14" x14ac:dyDescent="0.25">
      <c r="A96" s="75" t="s">
        <v>245</v>
      </c>
      <c r="B96" s="161" t="s">
        <v>119</v>
      </c>
      <c r="C96" s="162">
        <f t="shared" ref="C96:N96" si="62" xml:space="preserve"> 54477.25649*C77 - 47053.5012*C76 + 16421.96104*C75 - 2825.53995*C74 + 239.64014*C73 - 7.66</f>
        <v>0.38474465697996862</v>
      </c>
      <c r="D96" s="162">
        <f t="shared" si="62"/>
        <v>0.77491807723169259</v>
      </c>
      <c r="E96" s="162">
        <f t="shared" si="62"/>
        <v>0.88591877081845993</v>
      </c>
      <c r="F96" s="162">
        <f t="shared" si="62"/>
        <v>1.0197029675710674</v>
      </c>
      <c r="G96" s="162">
        <f t="shared" si="62"/>
        <v>1.182978843232835</v>
      </c>
      <c r="H96" s="162">
        <f t="shared" si="62"/>
        <v>1.3853884327852803</v>
      </c>
      <c r="I96" s="162">
        <f t="shared" si="62"/>
        <v>1.9644974117212222</v>
      </c>
      <c r="J96" s="162">
        <f t="shared" si="62"/>
        <v>2.9159677752619153</v>
      </c>
      <c r="K96" s="162">
        <f t="shared" si="62"/>
        <v>1.7894911163275573</v>
      </c>
      <c r="L96" s="162">
        <f t="shared" si="62"/>
        <v>1.8221683230874426</v>
      </c>
      <c r="M96" s="162">
        <f t="shared" si="62"/>
        <v>1.8556623224659567</v>
      </c>
      <c r="N96" s="162">
        <f t="shared" si="62"/>
        <v>7.2079923798344474</v>
      </c>
    </row>
    <row r="97" spans="1:14" x14ac:dyDescent="0.25">
      <c r="A97" s="75" t="s">
        <v>246</v>
      </c>
      <c r="B97" s="161" t="s">
        <v>120</v>
      </c>
      <c r="C97" s="162">
        <f t="shared" ref="C97:N97" si="63" xml:space="preserve"> 76208.6211*C77 - 64528.35091*C76 + 21766.90698*C75 - 3544.03862*C74 + 277.89526*C73 - 8.01</f>
        <v>0.43220584929792061</v>
      </c>
      <c r="D97" s="162">
        <f t="shared" si="63"/>
        <v>1.0936884217317111</v>
      </c>
      <c r="E97" s="162">
        <f t="shared" si="63"/>
        <v>1.276443596615648</v>
      </c>
      <c r="F97" s="162">
        <f t="shared" si="63"/>
        <v>1.4894361180752593</v>
      </c>
      <c r="G97" s="162">
        <f t="shared" si="63"/>
        <v>1.7415310472840826</v>
      </c>
      <c r="H97" s="162">
        <f t="shared" si="63"/>
        <v>2.0459911606213605</v>
      </c>
      <c r="I97" s="162">
        <f t="shared" si="63"/>
        <v>2.8921543416790367</v>
      </c>
      <c r="J97" s="162">
        <f t="shared" si="63"/>
        <v>4.2543310725936347</v>
      </c>
      <c r="K97" s="162">
        <f t="shared" si="63"/>
        <v>2.6388729992242954</v>
      </c>
      <c r="L97" s="162">
        <f t="shared" si="63"/>
        <v>2.6862804843122543</v>
      </c>
      <c r="M97" s="162">
        <f t="shared" si="63"/>
        <v>2.7348143643675424</v>
      </c>
      <c r="N97" s="162">
        <f t="shared" si="63"/>
        <v>10.349835045970101</v>
      </c>
    </row>
    <row r="98" spans="1:14" x14ac:dyDescent="0.25">
      <c r="A98" s="75" t="s">
        <v>247</v>
      </c>
      <c r="B98" s="161" t="s">
        <v>121</v>
      </c>
      <c r="C98" s="162">
        <f t="shared" ref="C98:N98" si="64" xml:space="preserve"> 73827.1017*C77 - 60714.3115*C76 + 20349.36168*C75 - 3304.30929*C74 + 259.49856*C73 - 7.45</f>
        <v>0.51880531142144104</v>
      </c>
      <c r="D98" s="162">
        <f t="shared" si="64"/>
        <v>1.5693451623646082</v>
      </c>
      <c r="E98" s="162">
        <f t="shared" si="64"/>
        <v>1.8676082732699326</v>
      </c>
      <c r="F98" s="162">
        <f t="shared" si="64"/>
        <v>2.2226103808041655</v>
      </c>
      <c r="G98" s="162">
        <f t="shared" si="64"/>
        <v>2.6476008504758637</v>
      </c>
      <c r="H98" s="162">
        <f t="shared" si="64"/>
        <v>3.1604967141437497</v>
      </c>
      <c r="I98" s="162">
        <f t="shared" si="64"/>
        <v>4.5499591868419058</v>
      </c>
      <c r="J98" s="162">
        <f t="shared" si="64"/>
        <v>6.6590253739661618</v>
      </c>
      <c r="K98" s="162">
        <f t="shared" si="64"/>
        <v>4.1408533967575947</v>
      </c>
      <c r="L98" s="162">
        <f t="shared" si="64"/>
        <v>4.2178804125130283</v>
      </c>
      <c r="M98" s="162">
        <f t="shared" si="64"/>
        <v>4.2965203478662373</v>
      </c>
      <c r="N98" s="162">
        <f t="shared" si="64"/>
        <v>15.123098854973495</v>
      </c>
    </row>
    <row r="99" spans="1:14" x14ac:dyDescent="0.25">
      <c r="A99" s="75" t="s">
        <v>248</v>
      </c>
      <c r="B99" s="161" t="s">
        <v>219</v>
      </c>
      <c r="C99" s="162">
        <f xml:space="preserve"> 40733.9049*C77 - 36751.17452*C76 + 13395.20097*C75 - 2415.4317*C74 + 215.01129*C73 - 7.26</f>
        <v>0.29891195010047689</v>
      </c>
      <c r="D99" s="162">
        <f t="shared" ref="D99:N99" si="65" xml:space="preserve"> 40733.9049*D77 - 36751.17452*D76 + 13395.20097*D75 - 2415.4317*D74 + 215.01129*D73 - 7.26</f>
        <v>0.52297556380609755</v>
      </c>
      <c r="E99" s="162">
        <f t="shared" si="65"/>
        <v>0.58995001522538892</v>
      </c>
      <c r="F99" s="162">
        <f t="shared" si="65"/>
        <v>0.67106460950679114</v>
      </c>
      <c r="G99" s="162">
        <f t="shared" si="65"/>
        <v>0.7699864460460244</v>
      </c>
      <c r="H99" s="162">
        <f t="shared" si="65"/>
        <v>0.89222093618334775</v>
      </c>
      <c r="I99" s="162">
        <f t="shared" si="65"/>
        <v>1.2405711855194763</v>
      </c>
      <c r="J99" s="162">
        <f t="shared" si="65"/>
        <v>1.814215540628096</v>
      </c>
      <c r="K99" s="162">
        <f t="shared" si="65"/>
        <v>1.135371526803814</v>
      </c>
      <c r="L99" s="162">
        <f t="shared" si="65"/>
        <v>1.1550135896827509</v>
      </c>
      <c r="M99" s="162">
        <f t="shared" si="65"/>
        <v>1.1751465012527529</v>
      </c>
      <c r="N99" s="162">
        <f t="shared" si="65"/>
        <v>4.4536605762765102</v>
      </c>
    </row>
    <row r="100" spans="1:14" x14ac:dyDescent="0.25">
      <c r="A100" s="75" t="s">
        <v>249</v>
      </c>
      <c r="B100" s="161" t="s">
        <v>141</v>
      </c>
      <c r="C100" s="162">
        <f t="shared" ref="C100:N100" si="66" xml:space="preserve"> 58644.91546*C77 - 51277.08978*C76+ 18140.63323*C75 - 3175.6924*C74 + 274.28544*C73 - 9.02</f>
        <v>0.33775228503347066</v>
      </c>
      <c r="D100" s="162">
        <f t="shared" si="66"/>
        <v>0.66261745932829896</v>
      </c>
      <c r="E100" s="162">
        <f t="shared" si="66"/>
        <v>0.76396733454280152</v>
      </c>
      <c r="F100" s="162">
        <f t="shared" si="66"/>
        <v>0.8883034430254817</v>
      </c>
      <c r="G100" s="162">
        <f t="shared" si="66"/>
        <v>1.0424158944459769</v>
      </c>
      <c r="H100" s="162">
        <f t="shared" si="66"/>
        <v>1.2361117169048121</v>
      </c>
      <c r="I100" s="162">
        <f t="shared" si="66"/>
        <v>1.800496729998553</v>
      </c>
      <c r="J100" s="162">
        <f t="shared" si="66"/>
        <v>2.7451465622584088</v>
      </c>
      <c r="K100" s="162">
        <f t="shared" si="66"/>
        <v>1.6287380284441859</v>
      </c>
      <c r="L100" s="162">
        <f t="shared" si="66"/>
        <v>1.660743230709766</v>
      </c>
      <c r="M100" s="162">
        <f t="shared" si="66"/>
        <v>1.6935809704526683</v>
      </c>
      <c r="N100" s="162">
        <f t="shared" si="66"/>
        <v>7.0931345839390723</v>
      </c>
    </row>
    <row r="101" spans="1:14" x14ac:dyDescent="0.25">
      <c r="A101" s="75" t="s">
        <v>250</v>
      </c>
      <c r="B101" s="161" t="s">
        <v>142</v>
      </c>
      <c r="C101" s="165">
        <f xml:space="preserve"> 29372.07272*C77 - 22669.98997*C76 + 6956.69784*C75 - 960.8162*C74 + 55.83313*C73 - 0.51</f>
        <v>0.40541822724710452</v>
      </c>
      <c r="D101" s="165">
        <f t="shared" ref="D101:N101" si="67" xml:space="preserve"> 29372.07272*D77 - 22669.98997*D76 + 6956.69784*D75 - 960.8162*D74 + 55.83313*D73 - 0.51</f>
        <v>1.0134870417597239</v>
      </c>
      <c r="E101" s="165">
        <f t="shared" si="67"/>
        <v>1.1836422017395323</v>
      </c>
      <c r="F101" s="165">
        <f t="shared" si="67"/>
        <v>1.3820668238346501</v>
      </c>
      <c r="G101" s="165">
        <f t="shared" si="67"/>
        <v>1.6148367825970966</v>
      </c>
      <c r="H101" s="165">
        <f t="shared" si="67"/>
        <v>1.8902215691977202</v>
      </c>
      <c r="I101" s="165">
        <f t="shared" si="67"/>
        <v>2.6148502742824782</v>
      </c>
      <c r="J101" s="165">
        <f t="shared" si="67"/>
        <v>3.6784490045778568</v>
      </c>
      <c r="K101" s="165">
        <f t="shared" si="67"/>
        <v>2.4040991826659646</v>
      </c>
      <c r="L101" s="165">
        <f t="shared" si="67"/>
        <v>2.4439231127898289</v>
      </c>
      <c r="M101" s="165">
        <f t="shared" si="67"/>
        <v>2.4845101129944656</v>
      </c>
      <c r="N101" s="165">
        <f t="shared" si="67"/>
        <v>7.7703451915223756</v>
      </c>
    </row>
    <row r="102" spans="1:14" x14ac:dyDescent="0.25">
      <c r="A102" s="170" t="s">
        <v>251</v>
      </c>
      <c r="B102" s="161" t="s">
        <v>143</v>
      </c>
      <c r="C102" s="162">
        <f xml:space="preserve"> 4564.57887*C77 - 4085.11767*C76 + 2049.36962*C75 - 391.39311*C74 + 30.6636*C73 - 0.38</f>
        <v>0.47137324824678373</v>
      </c>
      <c r="D102" s="162">
        <f t="shared" ref="D102:N102" si="68" xml:space="preserve"> 4564.57887*D77 - 4085.11767*D76 + 2049.36962*D75 - 391.39311*D74 + 30.6636*D73 - 0.38</f>
        <v>1.4308532726442778</v>
      </c>
      <c r="E102" s="162">
        <f t="shared" si="68"/>
        <v>1.7102179606620762</v>
      </c>
      <c r="F102" s="162">
        <f t="shared" si="68"/>
        <v>2.0366867588887176</v>
      </c>
      <c r="G102" s="162">
        <f t="shared" si="68"/>
        <v>2.413986317673225</v>
      </c>
      <c r="H102" s="162">
        <f t="shared" si="68"/>
        <v>2.8460568015160108</v>
      </c>
      <c r="I102" s="162">
        <f t="shared" si="68"/>
        <v>3.8916447043077875</v>
      </c>
      <c r="J102" s="162">
        <f t="shared" si="68"/>
        <v>5.2111796303904336</v>
      </c>
      <c r="K102" s="162">
        <f t="shared" si="68"/>
        <v>3.6012592321319534</v>
      </c>
      <c r="L102" s="162">
        <f t="shared" si="68"/>
        <v>3.656964960518569</v>
      </c>
      <c r="M102" s="162">
        <f t="shared" si="68"/>
        <v>3.7133337329526768</v>
      </c>
      <c r="N102" s="162">
        <f t="shared" si="68"/>
        <v>8.9880629149859868</v>
      </c>
    </row>
    <row r="103" spans="1:14" x14ac:dyDescent="0.25">
      <c r="A103" s="163"/>
      <c r="B103" s="164" t="s">
        <v>220</v>
      </c>
      <c r="C103" s="67">
        <f>($C12-0.75)*($C12-0.8)/0.005</f>
        <v>-0.10151642598368285</v>
      </c>
      <c r="D103" s="67">
        <f t="shared" ref="D103:N103" si="69">($C12-0.75)*($C12-0.8)/0.005</f>
        <v>-0.10151642598368285</v>
      </c>
      <c r="E103" s="67">
        <f t="shared" si="69"/>
        <v>-0.10151642598368285</v>
      </c>
      <c r="F103" s="67">
        <f t="shared" si="69"/>
        <v>-0.10151642598368285</v>
      </c>
      <c r="G103" s="67">
        <f t="shared" si="69"/>
        <v>-0.10151642598368285</v>
      </c>
      <c r="H103" s="67">
        <f t="shared" si="69"/>
        <v>-0.10151642598368285</v>
      </c>
      <c r="I103" s="67">
        <f t="shared" si="69"/>
        <v>-0.10151642598368285</v>
      </c>
      <c r="J103" s="67">
        <f t="shared" si="69"/>
        <v>-0.10151642598368285</v>
      </c>
      <c r="K103" s="67">
        <f t="shared" si="69"/>
        <v>-0.10151642598368285</v>
      </c>
      <c r="L103" s="67">
        <f t="shared" si="69"/>
        <v>-0.10151642598368285</v>
      </c>
      <c r="M103" s="67">
        <f t="shared" si="69"/>
        <v>-0.10151642598368285</v>
      </c>
      <c r="N103" s="67">
        <f t="shared" si="69"/>
        <v>-0.10151642598368285</v>
      </c>
    </row>
    <row r="104" spans="1:14" x14ac:dyDescent="0.25">
      <c r="A104" s="163"/>
      <c r="B104" s="164" t="s">
        <v>144</v>
      </c>
      <c r="C104" s="67">
        <f>($C12-0.7)*($C12-0.8)/0.0025</f>
        <v>-0.48631379873799579</v>
      </c>
      <c r="D104" s="67">
        <f t="shared" ref="D104:N104" si="70">($C12-0.7)*($C12-0.8)/0.0025</f>
        <v>-0.48631379873799579</v>
      </c>
      <c r="E104" s="67">
        <f t="shared" si="70"/>
        <v>-0.48631379873799579</v>
      </c>
      <c r="F104" s="67">
        <f t="shared" si="70"/>
        <v>-0.48631379873799579</v>
      </c>
      <c r="G104" s="67">
        <f t="shared" si="70"/>
        <v>-0.48631379873799579</v>
      </c>
      <c r="H104" s="67">
        <f t="shared" si="70"/>
        <v>-0.48631379873799579</v>
      </c>
      <c r="I104" s="67">
        <f t="shared" si="70"/>
        <v>-0.48631379873799579</v>
      </c>
      <c r="J104" s="67">
        <f t="shared" si="70"/>
        <v>-0.48631379873799579</v>
      </c>
      <c r="K104" s="67">
        <f t="shared" si="70"/>
        <v>-0.48631379873799579</v>
      </c>
      <c r="L104" s="67">
        <f t="shared" si="70"/>
        <v>-0.48631379873799579</v>
      </c>
      <c r="M104" s="67">
        <f t="shared" si="70"/>
        <v>-0.48631379873799579</v>
      </c>
      <c r="N104" s="67">
        <f t="shared" si="70"/>
        <v>-0.48631379873799579</v>
      </c>
    </row>
    <row r="105" spans="1:14" x14ac:dyDescent="0.25">
      <c r="A105" s="166"/>
      <c r="B105" s="169" t="s">
        <v>145</v>
      </c>
      <c r="C105" s="167">
        <f>($C12-0.7)*($C12-0.75)/0.005</f>
        <v>0.61520262724568886</v>
      </c>
      <c r="D105" s="167">
        <f t="shared" ref="D105:N105" si="71">($C12-0.7)*($C12-0.75)/0.005</f>
        <v>0.61520262724568886</v>
      </c>
      <c r="E105" s="167">
        <f t="shared" si="71"/>
        <v>0.61520262724568886</v>
      </c>
      <c r="F105" s="167">
        <f t="shared" si="71"/>
        <v>0.61520262724568886</v>
      </c>
      <c r="G105" s="167">
        <f t="shared" si="71"/>
        <v>0.61520262724568886</v>
      </c>
      <c r="H105" s="167">
        <f t="shared" si="71"/>
        <v>0.61520262724568886</v>
      </c>
      <c r="I105" s="167">
        <f t="shared" si="71"/>
        <v>0.61520262724568886</v>
      </c>
      <c r="J105" s="167">
        <f t="shared" si="71"/>
        <v>0.61520262724568886</v>
      </c>
      <c r="K105" s="167">
        <f t="shared" si="71"/>
        <v>0.61520262724568886</v>
      </c>
      <c r="L105" s="167">
        <f t="shared" si="71"/>
        <v>0.61520262724568886</v>
      </c>
      <c r="M105" s="167">
        <f t="shared" si="71"/>
        <v>0.61520262724568886</v>
      </c>
      <c r="N105" s="167">
        <f t="shared" si="71"/>
        <v>0.61520262724568886</v>
      </c>
    </row>
    <row r="106" spans="1:14" x14ac:dyDescent="0.25">
      <c r="A106" s="166"/>
      <c r="B106" s="169" t="s">
        <v>146</v>
      </c>
      <c r="C106" s="167">
        <f>($C12-0.8)*($C12-0.85)/0.005</f>
        <v>0.18176452078694696</v>
      </c>
      <c r="D106" s="167">
        <f t="shared" ref="D106:N106" si="72">($C12-0.8)*($C12-0.85)/0.005</f>
        <v>0.18176452078694696</v>
      </c>
      <c r="E106" s="167">
        <f t="shared" si="72"/>
        <v>0.18176452078694696</v>
      </c>
      <c r="F106" s="167">
        <f t="shared" si="72"/>
        <v>0.18176452078694696</v>
      </c>
      <c r="G106" s="167">
        <f t="shared" si="72"/>
        <v>0.18176452078694696</v>
      </c>
      <c r="H106" s="167">
        <f t="shared" si="72"/>
        <v>0.18176452078694696</v>
      </c>
      <c r="I106" s="167">
        <f t="shared" si="72"/>
        <v>0.18176452078694696</v>
      </c>
      <c r="J106" s="167">
        <f t="shared" si="72"/>
        <v>0.18176452078694696</v>
      </c>
      <c r="K106" s="167">
        <f t="shared" si="72"/>
        <v>0.18176452078694696</v>
      </c>
      <c r="L106" s="167">
        <f t="shared" si="72"/>
        <v>0.18176452078694696</v>
      </c>
      <c r="M106" s="167">
        <f t="shared" si="72"/>
        <v>0.18176452078694696</v>
      </c>
      <c r="N106" s="167">
        <f t="shared" si="72"/>
        <v>0.18176452078694696</v>
      </c>
    </row>
    <row r="107" spans="1:14" x14ac:dyDescent="0.25">
      <c r="A107" s="166"/>
      <c r="B107" s="169" t="s">
        <v>147</v>
      </c>
      <c r="C107" s="167">
        <f>($C12-0.75)*($C12-0.85)/0.0025</f>
        <v>-0.91975190519673566</v>
      </c>
      <c r="D107" s="167">
        <f t="shared" ref="D107:N107" si="73">($C12-0.75)*($C12-0.85)/0.0025</f>
        <v>-0.91975190519673566</v>
      </c>
      <c r="E107" s="167">
        <f t="shared" si="73"/>
        <v>-0.91975190519673566</v>
      </c>
      <c r="F107" s="167">
        <f t="shared" si="73"/>
        <v>-0.91975190519673566</v>
      </c>
      <c r="G107" s="167">
        <f t="shared" si="73"/>
        <v>-0.91975190519673566</v>
      </c>
      <c r="H107" s="167">
        <f t="shared" si="73"/>
        <v>-0.91975190519673566</v>
      </c>
      <c r="I107" s="167">
        <f t="shared" si="73"/>
        <v>-0.91975190519673566</v>
      </c>
      <c r="J107" s="167">
        <f t="shared" si="73"/>
        <v>-0.91975190519673566</v>
      </c>
      <c r="K107" s="167">
        <f t="shared" si="73"/>
        <v>-0.91975190519673566</v>
      </c>
      <c r="L107" s="167">
        <f t="shared" si="73"/>
        <v>-0.91975190519673566</v>
      </c>
      <c r="M107" s="167">
        <f t="shared" si="73"/>
        <v>-0.91975190519673566</v>
      </c>
      <c r="N107" s="167">
        <f t="shared" si="73"/>
        <v>-0.91975190519673566</v>
      </c>
    </row>
    <row r="108" spans="1:14" x14ac:dyDescent="0.25">
      <c r="A108" s="172" t="s">
        <v>252</v>
      </c>
      <c r="B108" s="173" t="s">
        <v>221</v>
      </c>
      <c r="C108" s="174">
        <f t="shared" ref="C108:N108" si="74">IF($C12&lt;0.775,C103*C79-C104*C80+C105*C81,C106*C80-C107*C81+C103*C82)</f>
        <v>0.6997245859745741</v>
      </c>
      <c r="D108" s="174">
        <f t="shared" si="74"/>
        <v>1.5154930194225389</v>
      </c>
      <c r="E108" s="174">
        <f t="shared" si="74"/>
        <v>1.7347210572686684</v>
      </c>
      <c r="F108" s="174">
        <f t="shared" si="74"/>
        <v>2.0338684582748354</v>
      </c>
      <c r="G108" s="174">
        <f t="shared" si="74"/>
        <v>2.4599563466440681</v>
      </c>
      <c r="H108" s="174">
        <f t="shared" si="74"/>
        <v>3.0774399130813181</v>
      </c>
      <c r="I108" s="174">
        <f t="shared" si="74"/>
        <v>5.2470842787023981</v>
      </c>
      <c r="J108" s="174">
        <f t="shared" si="74"/>
        <v>9.5052853978279064</v>
      </c>
      <c r="K108" s="174">
        <f t="shared" si="74"/>
        <v>4.5422458515153101</v>
      </c>
      <c r="L108" s="174">
        <f t="shared" si="74"/>
        <v>4.6711690086572419</v>
      </c>
      <c r="M108" s="174">
        <f t="shared" si="74"/>
        <v>4.8046493379378159</v>
      </c>
      <c r="N108" s="174">
        <f t="shared" si="74"/>
        <v>31.429275889384797</v>
      </c>
    </row>
    <row r="109" spans="1:14" x14ac:dyDescent="0.25">
      <c r="A109" s="172" t="s">
        <v>253</v>
      </c>
      <c r="B109" s="173" t="s">
        <v>223</v>
      </c>
      <c r="C109" s="174">
        <f t="shared" ref="C109:N109" si="75">IF($C12&lt;0.775,C103*C83-C104*C84+C105*C85,C106*C84-C107*C85+C103*C86)</f>
        <v>0.6149156796637385</v>
      </c>
      <c r="D109" s="174">
        <f t="shared" si="75"/>
        <v>1.3591437629226897</v>
      </c>
      <c r="E109" s="174">
        <f t="shared" si="75"/>
        <v>1.5599888323466695</v>
      </c>
      <c r="F109" s="174">
        <f t="shared" si="75"/>
        <v>1.8157652424493549</v>
      </c>
      <c r="G109" s="174">
        <f t="shared" si="75"/>
        <v>2.1578599741332658</v>
      </c>
      <c r="H109" s="174">
        <f t="shared" si="75"/>
        <v>2.6344045514316048</v>
      </c>
      <c r="I109" s="174">
        <f t="shared" si="75"/>
        <v>4.298217662190404</v>
      </c>
      <c r="J109" s="174">
        <f t="shared" si="75"/>
        <v>7.7367717095604176</v>
      </c>
      <c r="K109" s="174">
        <f t="shared" si="75"/>
        <v>3.7531043866576739</v>
      </c>
      <c r="L109" s="174">
        <f t="shared" si="75"/>
        <v>3.8523454262551877</v>
      </c>
      <c r="M109" s="174">
        <f t="shared" si="75"/>
        <v>3.9553062726373107</v>
      </c>
      <c r="N109" s="174">
        <f t="shared" si="75"/>
        <v>28.221510587670444</v>
      </c>
    </row>
    <row r="110" spans="1:14" x14ac:dyDescent="0.25">
      <c r="A110" s="172" t="s">
        <v>254</v>
      </c>
      <c r="B110" s="173" t="s">
        <v>222</v>
      </c>
      <c r="C110" s="174">
        <f t="shared" ref="C110:N110" si="76">IF($C12&lt;0.775,C103*C87-C104*C88+C105*C89,C106*C88-C107*C89+C103*C90)</f>
        <v>0.52703949350387924</v>
      </c>
      <c r="D110" s="174">
        <f t="shared" si="76"/>
        <v>1.1897369539078351</v>
      </c>
      <c r="E110" s="174">
        <f t="shared" si="76"/>
        <v>1.368685014978098</v>
      </c>
      <c r="F110" s="174">
        <f t="shared" si="76"/>
        <v>1.5870814529927495</v>
      </c>
      <c r="G110" s="174">
        <f t="shared" si="76"/>
        <v>1.8622976485320923</v>
      </c>
      <c r="H110" s="174">
        <f t="shared" si="76"/>
        <v>2.2212285940459724</v>
      </c>
      <c r="I110" s="174">
        <f t="shared" si="76"/>
        <v>3.364310066275161</v>
      </c>
      <c r="J110" s="174">
        <f t="shared" si="76"/>
        <v>5.5494442707245968</v>
      </c>
      <c r="K110" s="174">
        <f t="shared" si="76"/>
        <v>3.0014937212884547</v>
      </c>
      <c r="L110" s="174">
        <f t="shared" si="76"/>
        <v>3.0681576647642101</v>
      </c>
      <c r="M110" s="174">
        <f t="shared" si="76"/>
        <v>3.1370112294505721</v>
      </c>
      <c r="N110" s="174">
        <f t="shared" si="76"/>
        <v>17.897921398043476</v>
      </c>
    </row>
    <row r="111" spans="1:14" x14ac:dyDescent="0.25">
      <c r="A111" s="172" t="s">
        <v>255</v>
      </c>
      <c r="B111" s="173" t="s">
        <v>225</v>
      </c>
      <c r="C111" s="174">
        <f t="shared" ref="C111:N111" si="77">IF($C12&lt;0.775,C103*C91-C104*C92+C105*C93,C106*C92-C107*C93+C103*C94)</f>
        <v>0.45154953415244309</v>
      </c>
      <c r="D111" s="174">
        <f t="shared" si="77"/>
        <v>1.0904484469267417</v>
      </c>
      <c r="E111" s="174">
        <f t="shared" si="77"/>
        <v>1.2658577913693281</v>
      </c>
      <c r="F111" s="174">
        <f t="shared" si="77"/>
        <v>1.4772954734572299</v>
      </c>
      <c r="G111" s="174">
        <f t="shared" si="77"/>
        <v>1.7348460440078037</v>
      </c>
      <c r="H111" s="174">
        <f t="shared" si="77"/>
        <v>2.0516103080626058</v>
      </c>
      <c r="I111" s="174">
        <f t="shared" si="77"/>
        <v>2.9326583441241509</v>
      </c>
      <c r="J111" s="174">
        <f t="shared" si="77"/>
        <v>4.300732702083744</v>
      </c>
      <c r="K111" s="174">
        <f t="shared" si="77"/>
        <v>2.6706521062563189</v>
      </c>
      <c r="L111" s="174">
        <f t="shared" si="77"/>
        <v>2.7198509708813345</v>
      </c>
      <c r="M111" s="174">
        <f t="shared" si="77"/>
        <v>2.7701465168081074</v>
      </c>
      <c r="N111" s="174">
        <f t="shared" si="77"/>
        <v>9.8293870862946662</v>
      </c>
    </row>
    <row r="112" spans="1:14" x14ac:dyDescent="0.25">
      <c r="A112" s="172" t="s">
        <v>256</v>
      </c>
      <c r="B112" s="173" t="s">
        <v>226</v>
      </c>
      <c r="C112" s="174">
        <f t="shared" ref="C112:N112" si="78">IF($C12&lt;0.775,C103*C95-C104*C96+C105*C97,C106*C96-C107*C97+C103*C98)</f>
        <v>0.4147878205333817</v>
      </c>
      <c r="D112" s="174">
        <f t="shared" si="78"/>
        <v>0.98746031051847571</v>
      </c>
      <c r="E112" s="174">
        <f t="shared" si="78"/>
        <v>1.1454471136574733</v>
      </c>
      <c r="F112" s="174">
        <f t="shared" si="78"/>
        <v>1.3296260663006614</v>
      </c>
      <c r="G112" s="174">
        <f t="shared" si="78"/>
        <v>1.5480251054684455</v>
      </c>
      <c r="H112" s="174">
        <f t="shared" si="78"/>
        <v>1.812776401833126</v>
      </c>
      <c r="I112" s="174">
        <f t="shared" si="78"/>
        <v>2.5552448014911966</v>
      </c>
      <c r="J112" s="174">
        <f t="shared" si="78"/>
        <v>3.7669481381566272</v>
      </c>
      <c r="K112" s="174">
        <f t="shared" si="78"/>
        <v>2.332009826459323</v>
      </c>
      <c r="L112" s="174">
        <f t="shared" si="78"/>
        <v>2.3737330006732451</v>
      </c>
      <c r="M112" s="174">
        <f t="shared" si="78"/>
        <v>2.4164769048903141</v>
      </c>
      <c r="N112" s="174">
        <f t="shared" si="78"/>
        <v>9.2941948372046816</v>
      </c>
    </row>
    <row r="113" spans="1:14" x14ac:dyDescent="0.25">
      <c r="A113" s="172" t="s">
        <v>257</v>
      </c>
      <c r="B113" s="173" t="s">
        <v>227</v>
      </c>
      <c r="C113" s="174">
        <f t="shared" ref="C113:N113" si="79">IF($C12&lt;0.775,C103*C99-C104*C100+C105*C101,C106*C100-C107*C101+C103*C102)</f>
        <v>0.3864234416794799</v>
      </c>
      <c r="D113" s="174">
        <f t="shared" si="79"/>
        <v>0.9073418721646791</v>
      </c>
      <c r="E113" s="174">
        <f t="shared" si="79"/>
        <v>1.0539041115617307</v>
      </c>
      <c r="F113" s="174">
        <f t="shared" si="79"/>
        <v>1.2258634833553688</v>
      </c>
      <c r="G113" s="174">
        <f t="shared" si="79"/>
        <v>1.4296641695464192</v>
      </c>
      <c r="H113" s="174">
        <f t="shared" si="79"/>
        <v>1.6742946287394427</v>
      </c>
      <c r="I113" s="174">
        <f t="shared" si="79"/>
        <v>2.3372140853025152</v>
      </c>
      <c r="J113" s="174">
        <f t="shared" si="79"/>
        <v>3.353210398272148</v>
      </c>
      <c r="K113" s="174">
        <f t="shared" si="79"/>
        <v>2.1416346244797921</v>
      </c>
      <c r="L113" s="174">
        <f t="shared" si="79"/>
        <v>2.1784251238835033</v>
      </c>
      <c r="M113" s="174">
        <f t="shared" si="79"/>
        <v>2.2160014743614354</v>
      </c>
      <c r="N113" s="174">
        <f t="shared" si="79"/>
        <v>7.5236339788201452</v>
      </c>
    </row>
    <row r="114" spans="1:14" x14ac:dyDescent="0.25">
      <c r="A114" s="159" t="s">
        <v>131</v>
      </c>
      <c r="B114" s="171" t="s">
        <v>122</v>
      </c>
      <c r="C114" s="184">
        <f t="shared" ref="C114:N114" si="80">IF($C13&gt;5.25,IF($C13&lt;5.75,C109*($C13-5.5)*($C13-6)/0.5-C110*($C13-5)*($C13-6)/0.25+C111*($C13-5)*($C13-5.5)/0.5,IF($C13&lt;6.25,C110*($C13-6)*($C13-6.5)/0.5-C111*($C13-5.5)*($C13-6.5)/0.25+C112*($C13-5.5)*($C13-6)/0.5,C111*($C13-6.5)*($C13-7)/0.5-C112*($C13-6)*($C13-7)/0.25+C113*($C13-6)*($C13-6.5)/0.5)),C108*($C13-5)*($C13-5.5)/0.5-C109*($C13-4.5)*($C13-5.5)/0.25+C110*($C13-4.5)*($C13-5)/0.5)</f>
        <v>0.64239389036495076</v>
      </c>
      <c r="D114" s="184">
        <f t="shared" si="80"/>
        <v>1.4106066735302876</v>
      </c>
      <c r="E114" s="184">
        <f t="shared" si="80"/>
        <v>1.6177178769268206</v>
      </c>
      <c r="F114" s="184">
        <f t="shared" si="80"/>
        <v>1.8867239759725953</v>
      </c>
      <c r="G114" s="184">
        <f t="shared" si="80"/>
        <v>2.2538397938036656</v>
      </c>
      <c r="H114" s="184">
        <f t="shared" si="80"/>
        <v>2.7729560845802768</v>
      </c>
      <c r="I114" s="184">
        <f t="shared" si="80"/>
        <v>4.6002899610758829</v>
      </c>
      <c r="J114" s="184">
        <f t="shared" si="80"/>
        <v>8.3483848695497649</v>
      </c>
      <c r="K114" s="184">
        <f t="shared" si="80"/>
        <v>4.0015980044328385</v>
      </c>
      <c r="L114" s="184">
        <f t="shared" si="80"/>
        <v>4.1106542911304738</v>
      </c>
      <c r="M114" s="184">
        <f t="shared" si="80"/>
        <v>4.2237737839380403</v>
      </c>
      <c r="N114" s="184">
        <f t="shared" si="80"/>
        <v>30.022493714480159</v>
      </c>
    </row>
    <row r="115" spans="1:14" x14ac:dyDescent="0.25">
      <c r="A115" s="166"/>
      <c r="B115" s="169" t="s">
        <v>123</v>
      </c>
      <c r="C115" s="167">
        <f t="shared" ref="C115:N115" si="81">C22</f>
        <v>0.12</v>
      </c>
      <c r="D115" s="167">
        <f t="shared" si="81"/>
        <v>0.200555877516121</v>
      </c>
      <c r="E115" s="167">
        <f t="shared" si="81"/>
        <v>0.21041363441822353</v>
      </c>
      <c r="F115" s="167">
        <f t="shared" si="81"/>
        <v>0.22027139132032608</v>
      </c>
      <c r="G115" s="167">
        <f t="shared" si="81"/>
        <v>0.23012914822242861</v>
      </c>
      <c r="H115" s="167">
        <f t="shared" si="81"/>
        <v>0.23998690512453114</v>
      </c>
      <c r="I115" s="167">
        <f t="shared" si="81"/>
        <v>0.25970241892873619</v>
      </c>
      <c r="J115" s="167">
        <f t="shared" si="81"/>
        <v>0.27941793273294124</v>
      </c>
      <c r="K115" s="167">
        <f t="shared" si="81"/>
        <v>0.25468669016013873</v>
      </c>
      <c r="L115" s="167">
        <f t="shared" si="81"/>
        <v>0.25567246585034897</v>
      </c>
      <c r="M115" s="167">
        <f t="shared" si="81"/>
        <v>0.25665824154055922</v>
      </c>
      <c r="N115" s="167">
        <f t="shared" si="81"/>
        <v>0.32</v>
      </c>
    </row>
    <row r="116" spans="1:14" x14ac:dyDescent="0.25">
      <c r="A116" s="166"/>
      <c r="B116" s="169" t="s">
        <v>165</v>
      </c>
      <c r="C116" s="167">
        <f t="shared" ref="C116:N116" si="82">C52+C54+C56+C60</f>
        <v>0.70611645776255072</v>
      </c>
      <c r="D116" s="167">
        <f t="shared" si="82"/>
        <v>1.4748581982114408</v>
      </c>
      <c r="E116" s="167">
        <f t="shared" si="82"/>
        <v>1.6956368565915454</v>
      </c>
      <c r="F116" s="167">
        <f t="shared" si="82"/>
        <v>1.974823720962676</v>
      </c>
      <c r="G116" s="167">
        <f t="shared" si="82"/>
        <v>2.3332069597891794</v>
      </c>
      <c r="H116" s="167">
        <f t="shared" si="82"/>
        <v>2.8018668459963241</v>
      </c>
      <c r="I116" s="167">
        <f t="shared" si="82"/>
        <v>4.2827349086882522</v>
      </c>
      <c r="J116" s="167">
        <f t="shared" si="82"/>
        <v>7.106877513711968</v>
      </c>
      <c r="K116" s="167">
        <f t="shared" si="82"/>
        <v>3.8136722646130727</v>
      </c>
      <c r="L116" s="167">
        <f t="shared" si="82"/>
        <v>3.8998584679717432</v>
      </c>
      <c r="M116" s="167">
        <f t="shared" si="82"/>
        <v>3.9888687607274109</v>
      </c>
      <c r="N116" s="167">
        <f t="shared" si="82"/>
        <v>14.596121565415679</v>
      </c>
    </row>
    <row r="117" spans="1:14" x14ac:dyDescent="0.25">
      <c r="A117" s="166"/>
      <c r="B117" s="169" t="s">
        <v>166</v>
      </c>
      <c r="C117" s="167">
        <f t="shared" ref="C117:N117" si="83">C116-C114</f>
        <v>6.3722567397599961E-2</v>
      </c>
      <c r="D117" s="167">
        <f t="shared" si="83"/>
        <v>6.4251524681153249E-2</v>
      </c>
      <c r="E117" s="167">
        <f t="shared" si="83"/>
        <v>7.791897966472483E-2</v>
      </c>
      <c r="F117" s="167">
        <f t="shared" si="83"/>
        <v>8.8099744990080664E-2</v>
      </c>
      <c r="G117" s="167">
        <f t="shared" si="83"/>
        <v>7.9367165985513743E-2</v>
      </c>
      <c r="H117" s="167">
        <f t="shared" si="83"/>
        <v>2.8910761416047315E-2</v>
      </c>
      <c r="I117" s="167">
        <f t="shared" si="83"/>
        <v>-0.31755505238763071</v>
      </c>
      <c r="J117" s="167">
        <f t="shared" si="83"/>
        <v>-1.2415073558377969</v>
      </c>
      <c r="K117" s="167">
        <f t="shared" si="83"/>
        <v>-0.18792573981976579</v>
      </c>
      <c r="L117" s="167">
        <f t="shared" si="83"/>
        <v>-0.21079582315873058</v>
      </c>
      <c r="M117" s="167">
        <f t="shared" si="83"/>
        <v>-0.23490502321062934</v>
      </c>
      <c r="N117" s="167">
        <f t="shared" si="83"/>
        <v>-15.426372149064481</v>
      </c>
    </row>
  </sheetData>
  <sheetProtection password="CC7C" sheet="1" objects="1" scenarios="1"/>
  <phoneticPr fontId="2" type="noConversion"/>
  <dataValidations count="1">
    <dataValidation type="whole" allowBlank="1" showInputMessage="1" showErrorMessage="1" error="Value to be either 1 or 2" sqref="K14">
      <formula1>1</formula1>
      <formula2>3</formula2>
    </dataValidation>
  </dataValidations>
  <pageMargins left="0.75" right="0.75" top="1" bottom="1"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O120"/>
  <sheetViews>
    <sheetView topLeftCell="A16" workbookViewId="0">
      <selection activeCell="N36" sqref="N36"/>
    </sheetView>
  </sheetViews>
  <sheetFormatPr defaultRowHeight="13.2" x14ac:dyDescent="0.25"/>
  <cols>
    <col min="1" max="1" width="27.44140625" customWidth="1"/>
    <col min="2" max="14" width="7.77734375" customWidth="1"/>
  </cols>
  <sheetData>
    <row r="1" spans="1:14" ht="21.6" thickBot="1" x14ac:dyDescent="0.45">
      <c r="A1" s="4" t="s">
        <v>370</v>
      </c>
      <c r="B1" s="5"/>
      <c r="C1" s="5"/>
      <c r="D1" s="5"/>
      <c r="E1" s="6"/>
      <c r="F1" s="5"/>
      <c r="G1" s="7"/>
      <c r="H1" s="460"/>
      <c r="I1" s="9"/>
      <c r="J1" s="8"/>
      <c r="K1" s="22"/>
      <c r="L1" s="8"/>
      <c r="M1" s="8"/>
      <c r="N1" s="230"/>
    </row>
    <row r="2" spans="1:14" ht="13.8" thickTop="1" x14ac:dyDescent="0.25">
      <c r="A2" s="10" t="s">
        <v>8</v>
      </c>
      <c r="B2" s="11"/>
      <c r="C2" s="11"/>
      <c r="D2" s="60"/>
      <c r="E2" s="98"/>
      <c r="F2" s="98"/>
      <c r="G2" s="11"/>
      <c r="H2" s="11"/>
      <c r="I2" s="12"/>
      <c r="J2" s="13" t="s">
        <v>9</v>
      </c>
      <c r="K2" s="14"/>
      <c r="L2" s="11"/>
      <c r="M2" s="11"/>
      <c r="N2" s="202"/>
    </row>
    <row r="3" spans="1:14" x14ac:dyDescent="0.25">
      <c r="A3" s="15" t="s">
        <v>10</v>
      </c>
      <c r="B3" s="16" t="s">
        <v>11</v>
      </c>
      <c r="C3" s="17">
        <v>1.0249999999999999</v>
      </c>
      <c r="D3" s="101"/>
      <c r="E3" s="79"/>
      <c r="F3" s="102"/>
      <c r="G3" s="18" t="s">
        <v>12</v>
      </c>
      <c r="H3" s="18"/>
      <c r="I3" s="18"/>
      <c r="J3" s="70">
        <v>1</v>
      </c>
      <c r="K3" s="23">
        <f>IF(J3=1,IF(C17=1,0.7*C73-0.45+0.08*C13,IF(C16=1,C74,G73)),J3)</f>
        <v>0.26598122732039658</v>
      </c>
      <c r="L3" s="461"/>
      <c r="M3" s="111"/>
      <c r="N3" s="206"/>
    </row>
    <row r="4" spans="1:14" x14ac:dyDescent="0.25">
      <c r="A4" s="15" t="s">
        <v>13</v>
      </c>
      <c r="B4" s="16" t="s">
        <v>14</v>
      </c>
      <c r="C4" s="20">
        <f>'Ship data'!C6</f>
        <v>69.39316773984396</v>
      </c>
      <c r="D4" s="103"/>
      <c r="E4" s="79"/>
      <c r="F4" s="102"/>
      <c r="G4" s="18" t="s">
        <v>15</v>
      </c>
      <c r="H4" s="18"/>
      <c r="I4" s="18"/>
      <c r="J4" s="71">
        <v>1</v>
      </c>
      <c r="K4" s="19">
        <f>IF(J4=1,IF(C17=1,E73-0.26+0.04*C13,IF(C16=1,E74,G74)),J4)</f>
        <v>0.23407532729681535</v>
      </c>
      <c r="L4" s="111"/>
      <c r="M4" s="111"/>
      <c r="N4" s="206"/>
    </row>
    <row r="5" spans="1:14" x14ac:dyDescent="0.25">
      <c r="A5" s="15" t="s">
        <v>16</v>
      </c>
      <c r="B5" s="16" t="s">
        <v>14</v>
      </c>
      <c r="C5" s="20">
        <f>'Ship data'!C7</f>
        <v>12.098035159762397</v>
      </c>
      <c r="D5" s="103"/>
      <c r="E5" s="79"/>
      <c r="F5" s="102"/>
      <c r="G5" s="18" t="s">
        <v>17</v>
      </c>
      <c r="H5" s="18"/>
      <c r="I5" s="18"/>
      <c r="J5" s="22"/>
      <c r="K5" s="19">
        <f>(1-K4)/(1-K3)</f>
        <v>1.0434674169260083</v>
      </c>
      <c r="L5" s="111"/>
      <c r="M5" s="111"/>
      <c r="N5" s="206"/>
    </row>
    <row r="6" spans="1:14" x14ac:dyDescent="0.25">
      <c r="A6" s="15" t="s">
        <v>18</v>
      </c>
      <c r="B6" s="16" t="s">
        <v>14</v>
      </c>
      <c r="C6" s="20">
        <f>'Ship data'!C95</f>
        <v>3.7282593146415111</v>
      </c>
      <c r="D6" s="104"/>
      <c r="E6" s="105"/>
      <c r="F6" s="102"/>
      <c r="G6" s="18" t="s">
        <v>19</v>
      </c>
      <c r="H6" s="18"/>
      <c r="I6" s="18"/>
      <c r="J6" s="22"/>
      <c r="K6" s="19">
        <f>'Ship data'!C49/100</f>
        <v>0.98</v>
      </c>
      <c r="L6" s="111"/>
      <c r="M6" s="111"/>
      <c r="N6" s="206"/>
    </row>
    <row r="7" spans="1:14" x14ac:dyDescent="0.25">
      <c r="A7" s="15" t="s">
        <v>20</v>
      </c>
      <c r="B7" s="16" t="s">
        <v>21</v>
      </c>
      <c r="C7" s="24">
        <f>'Ship data'!C94</f>
        <v>2456.4727921305375</v>
      </c>
      <c r="D7" s="103"/>
      <c r="E7" s="79"/>
      <c r="F7" s="102"/>
      <c r="G7" s="18" t="s">
        <v>22</v>
      </c>
      <c r="H7" s="18"/>
      <c r="I7" s="18"/>
      <c r="J7" s="22"/>
      <c r="K7" s="25">
        <v>1</v>
      </c>
      <c r="L7" s="111"/>
      <c r="M7" s="111"/>
      <c r="N7" s="206"/>
    </row>
    <row r="8" spans="1:14" x14ac:dyDescent="0.25">
      <c r="A8" s="15" t="s">
        <v>23</v>
      </c>
      <c r="B8" s="16" t="s">
        <v>24</v>
      </c>
      <c r="C8" s="24">
        <f>'Ship data'!C34+2*(C4+C5)*(C6-'Ship data'!C12)</f>
        <v>1111.789054047892</v>
      </c>
      <c r="D8" s="103"/>
      <c r="E8" s="79"/>
      <c r="F8" s="102"/>
      <c r="G8" s="27" t="s">
        <v>25</v>
      </c>
      <c r="H8" s="28"/>
      <c r="I8" s="28"/>
      <c r="J8" s="28"/>
      <c r="K8" s="29"/>
    </row>
    <row r="9" spans="1:14" x14ac:dyDescent="0.25">
      <c r="A9" s="15" t="s">
        <v>26</v>
      </c>
      <c r="B9" s="16" t="s">
        <v>24</v>
      </c>
      <c r="C9" s="24">
        <f>IF(C8=0,(1.08+(C16-1)*0.05-0.009*C5/C6)*(C7/C3/C6+1.65*C4*C6),C8)</f>
        <v>1111.789054047892</v>
      </c>
      <c r="D9" s="104"/>
      <c r="E9" s="79"/>
      <c r="F9" s="102"/>
      <c r="G9" s="30" t="s">
        <v>27</v>
      </c>
      <c r="H9" s="30"/>
      <c r="I9" s="30"/>
      <c r="J9" s="31">
        <v>0.32</v>
      </c>
      <c r="K9" s="32" t="str">
        <f>IF(J9&gt;0.32,"Too high"," ")</f>
        <v xml:space="preserve"> </v>
      </c>
      <c r="L9" s="111"/>
      <c r="M9" s="111"/>
      <c r="N9" s="206"/>
    </row>
    <row r="10" spans="1:14" x14ac:dyDescent="0.25">
      <c r="A10" s="15" t="s">
        <v>4</v>
      </c>
      <c r="B10" s="16" t="s">
        <v>28</v>
      </c>
      <c r="C10" s="17">
        <f>'Ship data'!C98</f>
        <v>0.99397856072700974</v>
      </c>
      <c r="D10" s="103"/>
      <c r="E10" s="79"/>
      <c r="F10" s="102"/>
      <c r="G10" s="33" t="s">
        <v>29</v>
      </c>
      <c r="H10" s="33"/>
      <c r="I10" s="33"/>
      <c r="J10" s="21">
        <v>1</v>
      </c>
      <c r="K10" s="34" t="str">
        <f>IF(J10&lt;0.9,"Too low"," ")</f>
        <v xml:space="preserve"> </v>
      </c>
      <c r="L10" s="111"/>
      <c r="M10" s="111"/>
      <c r="N10" s="206"/>
    </row>
    <row r="11" spans="1:14" x14ac:dyDescent="0.25">
      <c r="A11" s="15" t="s">
        <v>30</v>
      </c>
      <c r="B11" s="16" t="s">
        <v>28</v>
      </c>
      <c r="C11" s="17">
        <f>C7/C3/C4/C5/C6</f>
        <v>0.76568550532844493</v>
      </c>
      <c r="D11" s="103"/>
      <c r="E11" s="79"/>
      <c r="F11" s="102"/>
      <c r="G11" s="63" t="s">
        <v>124</v>
      </c>
      <c r="H11" s="464"/>
      <c r="I11" s="464"/>
      <c r="J11" s="465"/>
      <c r="K11" s="236">
        <f>'Ship data'!C100</f>
        <v>20</v>
      </c>
      <c r="L11" s="111"/>
      <c r="M11" s="111"/>
      <c r="N11" s="206"/>
    </row>
    <row r="12" spans="1:14" x14ac:dyDescent="0.25">
      <c r="A12" s="15" t="s">
        <v>31</v>
      </c>
      <c r="B12" s="16" t="s">
        <v>28</v>
      </c>
      <c r="C12" s="17">
        <f>C11/C10</f>
        <v>0.77032396430000649</v>
      </c>
      <c r="D12" s="106"/>
      <c r="E12" s="78"/>
      <c r="F12" s="102"/>
      <c r="G12" s="66" t="s">
        <v>125</v>
      </c>
      <c r="H12" s="466"/>
      <c r="I12" s="467"/>
      <c r="J12" s="468"/>
      <c r="K12" s="469">
        <v>15</v>
      </c>
      <c r="L12" s="111"/>
      <c r="M12" s="111"/>
      <c r="N12" s="206"/>
    </row>
    <row r="13" spans="1:14" x14ac:dyDescent="0.25">
      <c r="A13" s="15" t="s">
        <v>32</v>
      </c>
      <c r="B13" s="16" t="s">
        <v>28</v>
      </c>
      <c r="C13" s="20">
        <f>C4/(C7/C3)^(1/3)</f>
        <v>5.1854607201752598</v>
      </c>
      <c r="D13" s="106" t="str">
        <f>IF(OR(C13&lt;4,C13&gt;9)," Warning: Length-displ. ratio out of range !","")</f>
        <v/>
      </c>
      <c r="E13" s="78"/>
      <c r="F13" s="102"/>
      <c r="G13" s="66" t="s">
        <v>126</v>
      </c>
      <c r="H13" s="467"/>
      <c r="I13" s="467"/>
      <c r="J13" s="468"/>
      <c r="K13" s="469">
        <v>1</v>
      </c>
      <c r="L13" s="111"/>
      <c r="M13" s="111"/>
      <c r="N13" s="206"/>
    </row>
    <row r="14" spans="1:14" x14ac:dyDescent="0.25">
      <c r="A14" s="15" t="s">
        <v>33</v>
      </c>
      <c r="B14" s="16" t="s">
        <v>28</v>
      </c>
      <c r="C14" s="36">
        <v>0</v>
      </c>
      <c r="D14" s="106"/>
      <c r="E14" s="78"/>
      <c r="F14" s="102"/>
      <c r="G14" s="66" t="s">
        <v>130</v>
      </c>
      <c r="H14" s="467"/>
      <c r="I14" s="467"/>
      <c r="J14" s="468"/>
      <c r="K14" s="236">
        <f>'Ship data'!C68</f>
        <v>1</v>
      </c>
      <c r="L14" s="574"/>
      <c r="M14" s="575" t="s">
        <v>262</v>
      </c>
      <c r="N14" s="576">
        <f>'Ship data'!C40</f>
        <v>0.85</v>
      </c>
    </row>
    <row r="15" spans="1:14" x14ac:dyDescent="0.25">
      <c r="A15" s="15" t="s">
        <v>34</v>
      </c>
      <c r="B15" s="16" t="s">
        <v>28</v>
      </c>
      <c r="C15" s="36">
        <v>0</v>
      </c>
      <c r="D15" s="107"/>
      <c r="E15" s="108"/>
      <c r="F15" s="79"/>
      <c r="G15" s="406" t="s">
        <v>397</v>
      </c>
      <c r="H15" s="407"/>
      <c r="I15" s="407"/>
      <c r="J15" s="407"/>
      <c r="K15" s="470">
        <f>'Ship data'!C50</f>
        <v>0</v>
      </c>
      <c r="L15" s="574"/>
      <c r="M15" s="577" t="s">
        <v>487</v>
      </c>
      <c r="N15" s="578">
        <f>'Ship data'!C104</f>
        <v>166.82809134163446</v>
      </c>
    </row>
    <row r="16" spans="1:14" x14ac:dyDescent="0.25">
      <c r="A16" s="15" t="s">
        <v>35</v>
      </c>
      <c r="B16" s="16" t="s">
        <v>28</v>
      </c>
      <c r="C16" s="26">
        <v>1</v>
      </c>
      <c r="D16" s="109" t="str">
        <f>IF(OR(C4/C5&lt;3.5,C4/C5&gt;10)," Warning: L/B out of range !","")</f>
        <v/>
      </c>
      <c r="E16" s="110"/>
      <c r="F16" s="79"/>
      <c r="G16" s="823"/>
      <c r="H16" s="232"/>
      <c r="I16" s="233"/>
      <c r="J16" s="233"/>
      <c r="K16" s="232"/>
      <c r="L16" s="579" t="s">
        <v>488</v>
      </c>
      <c r="M16" s="580"/>
      <c r="N16" s="581">
        <f>'Ship data'!C101</f>
        <v>0</v>
      </c>
    </row>
    <row r="17" spans="1:15" x14ac:dyDescent="0.25">
      <c r="A17" s="15" t="s">
        <v>36</v>
      </c>
      <c r="B17" s="16" t="s">
        <v>28</v>
      </c>
      <c r="C17" s="26">
        <v>1</v>
      </c>
      <c r="D17" s="109" t="str">
        <f>IF(C5/C6&gt;6.5,"  Warning: B/T out of range !","")</f>
        <v/>
      </c>
      <c r="E17" s="110"/>
      <c r="F17" s="79"/>
      <c r="G17" s="823"/>
      <c r="H17" s="232"/>
      <c r="I17" s="233"/>
      <c r="J17" s="233"/>
      <c r="K17" s="232"/>
      <c r="L17" s="582" t="s">
        <v>261</v>
      </c>
      <c r="M17" s="583"/>
      <c r="N17" s="584">
        <f>IF(N16=0,0,MAX(0,0.18+0.464*N16+0.4034113*N16^2-0.0285278*N16^3+0.00097424*N16^4))</f>
        <v>0</v>
      </c>
    </row>
    <row r="18" spans="1:15" x14ac:dyDescent="0.25">
      <c r="A18" s="15" t="s">
        <v>37</v>
      </c>
      <c r="B18" s="16" t="s">
        <v>14</v>
      </c>
      <c r="C18" s="20">
        <f>'Ship data'!C70</f>
        <v>3.0735094775088392</v>
      </c>
      <c r="D18" s="590">
        <f>C18/C6</f>
        <v>0.82438189463877753</v>
      </c>
      <c r="E18" s="591" t="s">
        <v>163</v>
      </c>
      <c r="F18" s="79"/>
      <c r="G18" s="823"/>
      <c r="H18" s="587" t="s">
        <v>167</v>
      </c>
      <c r="I18" s="463"/>
      <c r="J18" s="822">
        <f>'Ship data'!C99</f>
        <v>8.6999999999999993</v>
      </c>
      <c r="K18" s="232"/>
      <c r="L18" s="582" t="s">
        <v>489</v>
      </c>
      <c r="M18" s="585"/>
      <c r="N18" s="586">
        <f>MAX(0,0.01666667*N16^3-0.23571429*N16^2+1.8333*N16-3.6)</f>
        <v>0</v>
      </c>
    </row>
    <row r="19" spans="1:15" ht="13.8" thickBot="1" x14ac:dyDescent="0.3">
      <c r="A19" s="18" t="s">
        <v>38</v>
      </c>
      <c r="B19" s="37" t="s">
        <v>28</v>
      </c>
      <c r="C19" s="24">
        <v>4</v>
      </c>
      <c r="D19" s="111"/>
      <c r="E19" s="108"/>
      <c r="F19" s="108"/>
      <c r="G19" s="78"/>
      <c r="H19" s="111"/>
      <c r="I19" s="111"/>
      <c r="J19" s="78"/>
      <c r="K19" s="111"/>
      <c r="L19" s="111"/>
      <c r="M19" s="111"/>
      <c r="N19" s="206"/>
    </row>
    <row r="20" spans="1:15" ht="14.4" thickTop="1" thickBot="1" x14ac:dyDescent="0.3">
      <c r="A20" s="10" t="s">
        <v>39</v>
      </c>
      <c r="B20" s="38"/>
      <c r="C20" s="11"/>
      <c r="D20" s="11"/>
      <c r="E20" s="11"/>
      <c r="F20" s="11"/>
      <c r="G20" s="11"/>
      <c r="H20" s="11"/>
      <c r="I20" s="11"/>
      <c r="J20" s="11"/>
      <c r="K20" s="11"/>
      <c r="L20" s="11"/>
      <c r="M20" s="11"/>
      <c r="N20" s="231"/>
    </row>
    <row r="21" spans="1:15" x14ac:dyDescent="0.25">
      <c r="A21" s="39" t="s">
        <v>40</v>
      </c>
      <c r="B21" s="40" t="s">
        <v>41</v>
      </c>
      <c r="C21" s="85">
        <f>(C22*(9.81*C4)^0.5)/0.5144</f>
        <v>6.0865773619557171</v>
      </c>
      <c r="D21" s="846">
        <f>E21-1</f>
        <v>2.6999999999999993</v>
      </c>
      <c r="E21" s="811">
        <f>F21-1</f>
        <v>3.6999999999999993</v>
      </c>
      <c r="F21" s="811">
        <f>G21-1</f>
        <v>4.6999999999999993</v>
      </c>
      <c r="G21" s="811">
        <f>H21-1</f>
        <v>5.6999999999999993</v>
      </c>
      <c r="H21" s="811">
        <f>I21-1</f>
        <v>6.6999999999999993</v>
      </c>
      <c r="I21" s="811">
        <f>K21-1</f>
        <v>7.6999999999999993</v>
      </c>
      <c r="J21" s="812">
        <f>K21-0.01</f>
        <v>8.69</v>
      </c>
      <c r="K21" s="812">
        <f>J18</f>
        <v>8.6999999999999993</v>
      </c>
      <c r="L21" s="812">
        <f>K21+0.01</f>
        <v>8.7099999999999991</v>
      </c>
      <c r="M21" s="251">
        <f>L21+0.5</f>
        <v>9.2099999999999991</v>
      </c>
      <c r="N21" s="623">
        <f>N22*SQRT(9.81*C4)/0.5144</f>
        <v>16.230872965215244</v>
      </c>
    </row>
    <row r="22" spans="1:15" x14ac:dyDescent="0.25">
      <c r="A22" s="15" t="s">
        <v>42</v>
      </c>
      <c r="B22" s="16" t="s">
        <v>28</v>
      </c>
      <c r="C22" s="87">
        <v>0.12</v>
      </c>
      <c r="D22" s="19">
        <f t="shared" ref="D22:M22" si="0">D21*0.5144/SQRT(9.81*$C4)</f>
        <v>5.323188727135366E-2</v>
      </c>
      <c r="E22" s="19">
        <f t="shared" si="0"/>
        <v>7.2947401075558735E-2</v>
      </c>
      <c r="F22" s="19">
        <f t="shared" si="0"/>
        <v>9.2662914879763802E-2</v>
      </c>
      <c r="G22" s="19">
        <f t="shared" si="0"/>
        <v>0.11237842868396887</v>
      </c>
      <c r="H22" s="19">
        <f t="shared" si="0"/>
        <v>0.13209394248817394</v>
      </c>
      <c r="I22" s="19">
        <f t="shared" si="0"/>
        <v>0.15180945629237902</v>
      </c>
      <c r="J22" s="813">
        <f t="shared" si="0"/>
        <v>0.17132781495854202</v>
      </c>
      <c r="K22" s="813">
        <f t="shared" si="0"/>
        <v>0.17152497009658407</v>
      </c>
      <c r="L22" s="813">
        <f t="shared" si="0"/>
        <v>0.17172212523462613</v>
      </c>
      <c r="M22" s="238">
        <f t="shared" si="0"/>
        <v>0.18157988213672865</v>
      </c>
      <c r="N22" s="353">
        <f>J9</f>
        <v>0.32</v>
      </c>
    </row>
    <row r="23" spans="1:15" x14ac:dyDescent="0.25">
      <c r="A23" s="15" t="s">
        <v>43</v>
      </c>
      <c r="B23" s="16" t="s">
        <v>28</v>
      </c>
      <c r="C23" s="88">
        <f t="shared" ref="C23:N23" si="1">75/(LOG10(C21*0.5144*$C4*1000000/((43.4233-31.38*$C3)*($K12+20)^(1.72*$C3-2.202)+4.7478-5.779*$C3))-2)^2</f>
        <v>1.9126129181791665</v>
      </c>
      <c r="D23" s="19">
        <f t="shared" si="1"/>
        <v>2.1479597029117121</v>
      </c>
      <c r="E23" s="19">
        <f t="shared" si="1"/>
        <v>2.0518294794261012</v>
      </c>
      <c r="F23" s="19">
        <f t="shared" si="1"/>
        <v>1.9830867541888559</v>
      </c>
      <c r="G23" s="19">
        <f t="shared" si="1"/>
        <v>1.9301408782783898</v>
      </c>
      <c r="H23" s="19">
        <f t="shared" si="1"/>
        <v>1.8873913638984945</v>
      </c>
      <c r="I23" s="19">
        <f t="shared" si="1"/>
        <v>1.8517269657123241</v>
      </c>
      <c r="J23" s="813">
        <f t="shared" si="1"/>
        <v>1.821533485664651</v>
      </c>
      <c r="K23" s="813">
        <f t="shared" si="1"/>
        <v>1.8212499425080182</v>
      </c>
      <c r="L23" s="813">
        <f t="shared" si="1"/>
        <v>1.8209667911620118</v>
      </c>
      <c r="M23" s="238">
        <f t="shared" si="1"/>
        <v>1.807287733652317</v>
      </c>
      <c r="N23" s="17">
        <f t="shared" si="1"/>
        <v>1.6767381901925182</v>
      </c>
    </row>
    <row r="24" spans="1:15" x14ac:dyDescent="0.25">
      <c r="A24" s="15" t="s">
        <v>44</v>
      </c>
      <c r="B24" s="16" t="s">
        <v>28</v>
      </c>
      <c r="C24" s="88">
        <f>IF(C22&gt;0.12,C48,$C48+(C22-0.12)*2.5)</f>
        <v>0.66817570679746718</v>
      </c>
      <c r="D24" s="239">
        <f t="shared" ref="D24:M24" si="2">D48</f>
        <v>0.66817570679746718</v>
      </c>
      <c r="E24" s="239">
        <f t="shared" si="2"/>
        <v>0.66817570679746718</v>
      </c>
      <c r="F24" s="239">
        <f t="shared" si="2"/>
        <v>0.66817570679746718</v>
      </c>
      <c r="G24" s="239">
        <f t="shared" si="2"/>
        <v>0.66817570679746718</v>
      </c>
      <c r="H24" s="239">
        <f t="shared" si="2"/>
        <v>0.70797288361985444</v>
      </c>
      <c r="I24" s="239">
        <f t="shared" si="2"/>
        <v>0.7931759528599841</v>
      </c>
      <c r="J24" s="813">
        <f t="shared" si="2"/>
        <v>0.95231337147621464</v>
      </c>
      <c r="K24" s="813">
        <f t="shared" si="2"/>
        <v>0.95433633892920822</v>
      </c>
      <c r="L24" s="813">
        <f t="shared" si="2"/>
        <v>0.95636736416841761</v>
      </c>
      <c r="M24" s="240">
        <f t="shared" si="2"/>
        <v>1.0680152478733682</v>
      </c>
      <c r="N24" s="351">
        <f>IF(N22&gt;0.12,N48,$C48+(N22-0.12)*$C48/0.12)</f>
        <v>18.899439531596212</v>
      </c>
      <c r="O24" s="551" t="s">
        <v>483</v>
      </c>
    </row>
    <row r="25" spans="1:15" x14ac:dyDescent="0.25">
      <c r="A25" s="15" t="s">
        <v>45</v>
      </c>
      <c r="B25" s="16" t="s">
        <v>28</v>
      </c>
      <c r="C25" s="88">
        <f t="shared" ref="C25:N25" si="3">IF($C17=1,0,0.3)</f>
        <v>0</v>
      </c>
      <c r="D25" s="19">
        <f t="shared" si="3"/>
        <v>0</v>
      </c>
      <c r="E25" s="19">
        <f t="shared" si="3"/>
        <v>0</v>
      </c>
      <c r="F25" s="19">
        <f t="shared" si="3"/>
        <v>0</v>
      </c>
      <c r="G25" s="19">
        <f t="shared" si="3"/>
        <v>0</v>
      </c>
      <c r="H25" s="19">
        <f t="shared" si="3"/>
        <v>0</v>
      </c>
      <c r="I25" s="19">
        <f t="shared" si="3"/>
        <v>0</v>
      </c>
      <c r="J25" s="813">
        <f t="shared" si="3"/>
        <v>0</v>
      </c>
      <c r="K25" s="813">
        <f t="shared" si="3"/>
        <v>0</v>
      </c>
      <c r="L25" s="813">
        <f t="shared" si="3"/>
        <v>0</v>
      </c>
      <c r="M25" s="238">
        <f t="shared" si="3"/>
        <v>0</v>
      </c>
      <c r="N25" s="17">
        <f t="shared" si="3"/>
        <v>0</v>
      </c>
    </row>
    <row r="26" spans="1:15" x14ac:dyDescent="0.25">
      <c r="A26" s="15" t="s">
        <v>46</v>
      </c>
      <c r="B26" s="16" t="s">
        <v>28</v>
      </c>
      <c r="C26" s="212">
        <f t="shared" ref="C26:N26" si="4">$K13*MAX(-0.4,-0.1-1.6*C22)</f>
        <v>-0.29200000000000004</v>
      </c>
      <c r="D26" s="239">
        <f t="shared" si="4"/>
        <v>-0.18517101963416588</v>
      </c>
      <c r="E26" s="239">
        <f t="shared" si="4"/>
        <v>-0.21671584172089398</v>
      </c>
      <c r="F26" s="239">
        <f t="shared" si="4"/>
        <v>-0.2482606638076221</v>
      </c>
      <c r="G26" s="239">
        <f t="shared" si="4"/>
        <v>-0.27980548589435017</v>
      </c>
      <c r="H26" s="239">
        <f t="shared" si="4"/>
        <v>-0.31135030798107832</v>
      </c>
      <c r="I26" s="239">
        <f t="shared" si="4"/>
        <v>-0.34289513006780648</v>
      </c>
      <c r="J26" s="813">
        <f t="shared" si="4"/>
        <v>-0.37412450393366725</v>
      </c>
      <c r="K26" s="813">
        <f t="shared" si="4"/>
        <v>-0.37443995215453452</v>
      </c>
      <c r="L26" s="813">
        <f t="shared" si="4"/>
        <v>-0.37475540037540178</v>
      </c>
      <c r="M26" s="240">
        <f t="shared" si="4"/>
        <v>-0.39052781141876591</v>
      </c>
      <c r="N26" s="351">
        <f t="shared" si="4"/>
        <v>-0.4</v>
      </c>
    </row>
    <row r="27" spans="1:15" x14ac:dyDescent="0.25">
      <c r="A27" s="15" t="s">
        <v>47</v>
      </c>
      <c r="B27" s="16" t="s">
        <v>28</v>
      </c>
      <c r="C27" s="262">
        <f>IF('Ship data'!$C3&lt;55000,0.07,IF('Ship data'!$C3&lt;170000,0.05,0.04))</f>
        <v>7.0000000000000007E-2</v>
      </c>
      <c r="D27" s="239">
        <f>IF('Ship data'!$C3&lt;55000,0.07,IF('Ship data'!$C3&lt;170000,0.05,0.04))</f>
        <v>7.0000000000000007E-2</v>
      </c>
      <c r="E27" s="239">
        <f>IF('Ship data'!$C3&lt;55000,0.07,IF('Ship data'!$C3&lt;170000,0.05,0.04))</f>
        <v>7.0000000000000007E-2</v>
      </c>
      <c r="F27" s="239">
        <f>IF('Ship data'!$C3&lt;55000,0.07,IF('Ship data'!$C3&lt;170000,0.05,0.04))</f>
        <v>7.0000000000000007E-2</v>
      </c>
      <c r="G27" s="239">
        <f>IF('Ship data'!$C3&lt;55000,0.07,IF('Ship data'!$C3&lt;170000,0.05,0.04))</f>
        <v>7.0000000000000007E-2</v>
      </c>
      <c r="H27" s="239">
        <f>IF('Ship data'!$C3&lt;55000,0.07,IF('Ship data'!$C3&lt;170000,0.05,0.04))</f>
        <v>7.0000000000000007E-2</v>
      </c>
      <c r="I27" s="239">
        <f>IF('Ship data'!$C3&lt;55000,0.07,IF('Ship data'!$C3&lt;170000,0.05,0.04))</f>
        <v>7.0000000000000007E-2</v>
      </c>
      <c r="J27" s="813">
        <f>IF('Ship data'!$C3&lt;55000,0.07,IF('Ship data'!$C3&lt;170000,0.05,0.04))</f>
        <v>7.0000000000000007E-2</v>
      </c>
      <c r="K27" s="813">
        <f>IF('Ship data'!$C3&lt;55000,0.07,IF('Ship data'!$C3&lt;170000,0.05,0.04))</f>
        <v>7.0000000000000007E-2</v>
      </c>
      <c r="L27" s="813">
        <f>IF('Ship data'!$C3&lt;55000,0.07,IF('Ship data'!$C3&lt;170000,0.05,0.04))</f>
        <v>7.0000000000000007E-2</v>
      </c>
      <c r="M27" s="240">
        <f>IF('Ship data'!$C3&lt;55000,0.07,IF('Ship data'!$C3&lt;170000,0.05,0.04))</f>
        <v>7.0000000000000007E-2</v>
      </c>
      <c r="N27" s="351">
        <f>IF('Ship data'!$C3&lt;55000,0.07,IF('Ship data'!$C3&lt;170000,0.05,0.04))</f>
        <v>7.0000000000000007E-2</v>
      </c>
    </row>
    <row r="28" spans="1:15" x14ac:dyDescent="0.25">
      <c r="A28" s="15" t="s">
        <v>48</v>
      </c>
      <c r="B28" s="16" t="s">
        <v>28</v>
      </c>
      <c r="C28" s="87">
        <f>MAX(0.5*LOG10($C7)-0.1*(LOG10($C7))^2,'PS1'!$K19)</f>
        <v>0.54573446169865503</v>
      </c>
      <c r="D28" s="19">
        <f>MAX((0.5*LOG10($C7)-0.1*(LOG10($C7))^2),'PS1'!$K19)</f>
        <v>0.54573446169865503</v>
      </c>
      <c r="E28" s="19">
        <f>MAX((0.5*LOG10($C7)-0.1*(LOG10($C7))^2),'PS1'!$K19)</f>
        <v>0.54573446169865503</v>
      </c>
      <c r="F28" s="19">
        <f>MAX((0.5*LOG10($C7)-0.1*(LOG10($C7))^2),'PS1'!$K19)</f>
        <v>0.54573446169865503</v>
      </c>
      <c r="G28" s="19">
        <f>MAX((0.5*LOG10($C7)-0.1*(LOG10($C7))^2),'PS1'!$K19)</f>
        <v>0.54573446169865503</v>
      </c>
      <c r="H28" s="19">
        <f>MAX((0.5*LOG10($C7)-0.1*(LOG10($C7))^2),'PS1'!$K19)</f>
        <v>0.54573446169865503</v>
      </c>
      <c r="I28" s="19">
        <f>MAX((0.5*LOG10($C7)-0.1*(LOG10($C7))^2),'PS1'!$K19)</f>
        <v>0.54573446169865503</v>
      </c>
      <c r="J28" s="813">
        <f>MAX((0.5*LOG10($C7)-0.1*(LOG10($C7))^2),'PS1'!$K19)</f>
        <v>0.54573446169865503</v>
      </c>
      <c r="K28" s="813">
        <f>MAX((0.5*LOG10($C7)-0.1*(LOG10($C7))^2),'PS1'!$K19)</f>
        <v>0.54573446169865503</v>
      </c>
      <c r="L28" s="813">
        <f>MAX((0.5*LOG10($C7)-0.1*(LOG10($C7))^2),'PS1'!$K19)</f>
        <v>0.54573446169865503</v>
      </c>
      <c r="M28" s="240">
        <f>MAX((0.5*LOG10($C7)-0.1*(LOG10($C7))^2),'PS1'!$K19)</f>
        <v>0.54573446169865503</v>
      </c>
      <c r="N28" s="351">
        <f>MAX((0.5*LOG10($C7)-0.1*(LOG10($C7))^2),'PS1'!$K19)</f>
        <v>0.54573446169865503</v>
      </c>
    </row>
    <row r="29" spans="1:15" x14ac:dyDescent="0.25">
      <c r="A29" s="15" t="s">
        <v>49</v>
      </c>
      <c r="B29" s="16" t="s">
        <v>28</v>
      </c>
      <c r="C29" s="88">
        <f t="shared" ref="C29:N29" si="5">C23+C24+C25+C26+C27+C28</f>
        <v>2.9045230866752885</v>
      </c>
      <c r="D29" s="19">
        <f t="shared" si="5"/>
        <v>3.2466988517736688</v>
      </c>
      <c r="E29" s="19">
        <f t="shared" si="5"/>
        <v>3.1190238062013291</v>
      </c>
      <c r="F29" s="19">
        <f t="shared" si="5"/>
        <v>3.0187362588773556</v>
      </c>
      <c r="G29" s="19">
        <f t="shared" si="5"/>
        <v>2.9342455608801616</v>
      </c>
      <c r="H29" s="19">
        <f t="shared" si="5"/>
        <v>2.8997484012359251</v>
      </c>
      <c r="I29" s="19">
        <f t="shared" si="5"/>
        <v>2.9177422502031565</v>
      </c>
      <c r="J29" s="813">
        <f t="shared" si="5"/>
        <v>3.0154568149058534</v>
      </c>
      <c r="K29" s="813">
        <f t="shared" si="5"/>
        <v>3.0168807909813466</v>
      </c>
      <c r="L29" s="813">
        <f t="shared" si="5"/>
        <v>3.0183132166536826</v>
      </c>
      <c r="M29" s="238">
        <f t="shared" si="5"/>
        <v>3.1005096318055738</v>
      </c>
      <c r="N29" s="353">
        <f t="shared" si="5"/>
        <v>20.791912183487387</v>
      </c>
    </row>
    <row r="30" spans="1:15" x14ac:dyDescent="0.25">
      <c r="A30" s="15" t="s">
        <v>50</v>
      </c>
      <c r="B30" s="16" t="s">
        <v>51</v>
      </c>
      <c r="C30" s="89">
        <f t="shared" ref="C30:N30" si="6">$K11</f>
        <v>20</v>
      </c>
      <c r="D30" s="241">
        <f t="shared" si="6"/>
        <v>20</v>
      </c>
      <c r="E30" s="241">
        <f t="shared" si="6"/>
        <v>20</v>
      </c>
      <c r="F30" s="241">
        <f t="shared" si="6"/>
        <v>20</v>
      </c>
      <c r="G30" s="241">
        <f t="shared" si="6"/>
        <v>20</v>
      </c>
      <c r="H30" s="241">
        <f t="shared" si="6"/>
        <v>20</v>
      </c>
      <c r="I30" s="241">
        <f t="shared" si="6"/>
        <v>20</v>
      </c>
      <c r="J30" s="814">
        <f t="shared" si="6"/>
        <v>20</v>
      </c>
      <c r="K30" s="814">
        <f t="shared" si="6"/>
        <v>20</v>
      </c>
      <c r="L30" s="814">
        <f t="shared" si="6"/>
        <v>20</v>
      </c>
      <c r="M30" s="242">
        <f t="shared" si="6"/>
        <v>20</v>
      </c>
      <c r="N30" s="24">
        <f t="shared" si="6"/>
        <v>20</v>
      </c>
    </row>
    <row r="31" spans="1:15" x14ac:dyDescent="0.25">
      <c r="A31" s="733" t="s">
        <v>263</v>
      </c>
      <c r="B31" s="734" t="s">
        <v>53</v>
      </c>
      <c r="C31" s="735">
        <f t="shared" ref="C31:M31" si="7">0.00062*$N15*$N14*((C21*0.5144+$N17)^2-(C21*0.5144)^2)</f>
        <v>0</v>
      </c>
      <c r="D31" s="736">
        <f t="shared" si="7"/>
        <v>0</v>
      </c>
      <c r="E31" s="736">
        <f t="shared" si="7"/>
        <v>0</v>
      </c>
      <c r="F31" s="736">
        <f t="shared" si="7"/>
        <v>0</v>
      </c>
      <c r="G31" s="736">
        <f t="shared" si="7"/>
        <v>0</v>
      </c>
      <c r="H31" s="736">
        <f t="shared" si="7"/>
        <v>0</v>
      </c>
      <c r="I31" s="736">
        <f t="shared" si="7"/>
        <v>0</v>
      </c>
      <c r="J31" s="736">
        <f t="shared" si="7"/>
        <v>0</v>
      </c>
      <c r="K31" s="736">
        <f t="shared" si="7"/>
        <v>0</v>
      </c>
      <c r="L31" s="736">
        <f t="shared" si="7"/>
        <v>0</v>
      </c>
      <c r="M31" s="815">
        <f t="shared" si="7"/>
        <v>0</v>
      </c>
      <c r="N31" s="804"/>
    </row>
    <row r="32" spans="1:15" x14ac:dyDescent="0.25">
      <c r="A32" s="733" t="s">
        <v>485</v>
      </c>
      <c r="B32" s="734" t="s">
        <v>53</v>
      </c>
      <c r="C32" s="735">
        <f t="shared" ref="C32:M32" si="8">1336*(5.3+C21*0.5144)*($C5*$C6/$C4*1.02)^0.75*$N18^2/1000</f>
        <v>0</v>
      </c>
      <c r="D32" s="736">
        <f t="shared" si="8"/>
        <v>0</v>
      </c>
      <c r="E32" s="736">
        <f t="shared" si="8"/>
        <v>0</v>
      </c>
      <c r="F32" s="736">
        <f t="shared" si="8"/>
        <v>0</v>
      </c>
      <c r="G32" s="736">
        <f t="shared" si="8"/>
        <v>0</v>
      </c>
      <c r="H32" s="736">
        <f t="shared" si="8"/>
        <v>0</v>
      </c>
      <c r="I32" s="736">
        <f t="shared" si="8"/>
        <v>0</v>
      </c>
      <c r="J32" s="736">
        <f t="shared" si="8"/>
        <v>0</v>
      </c>
      <c r="K32" s="736">
        <f t="shared" si="8"/>
        <v>0</v>
      </c>
      <c r="L32" s="736">
        <f t="shared" si="8"/>
        <v>0</v>
      </c>
      <c r="M32" s="815">
        <f t="shared" si="8"/>
        <v>0</v>
      </c>
      <c r="N32" s="805"/>
    </row>
    <row r="33" spans="1:14" x14ac:dyDescent="0.25">
      <c r="A33" s="733" t="s">
        <v>486</v>
      </c>
      <c r="B33" s="734" t="s">
        <v>53</v>
      </c>
      <c r="C33" s="735">
        <f>C31+C32</f>
        <v>0</v>
      </c>
      <c r="D33" s="736">
        <f t="shared" ref="D33:M33" si="9">D31+D32</f>
        <v>0</v>
      </c>
      <c r="E33" s="736">
        <f t="shared" si="9"/>
        <v>0</v>
      </c>
      <c r="F33" s="736">
        <f t="shared" si="9"/>
        <v>0</v>
      </c>
      <c r="G33" s="736">
        <f t="shared" si="9"/>
        <v>0</v>
      </c>
      <c r="H33" s="736">
        <f t="shared" si="9"/>
        <v>0</v>
      </c>
      <c r="I33" s="736">
        <f t="shared" si="9"/>
        <v>0</v>
      </c>
      <c r="J33" s="736">
        <f t="shared" si="9"/>
        <v>0</v>
      </c>
      <c r="K33" s="736">
        <f t="shared" si="9"/>
        <v>0</v>
      </c>
      <c r="L33" s="736">
        <f t="shared" si="9"/>
        <v>0</v>
      </c>
      <c r="M33" s="815">
        <f t="shared" si="9"/>
        <v>0</v>
      </c>
      <c r="N33" s="804"/>
    </row>
    <row r="34" spans="1:14" x14ac:dyDescent="0.25">
      <c r="A34" s="733" t="s">
        <v>486</v>
      </c>
      <c r="B34" s="734" t="s">
        <v>51</v>
      </c>
      <c r="C34" s="740">
        <f>C33*100/(C35-C33)</f>
        <v>0</v>
      </c>
      <c r="D34" s="741">
        <f t="shared" ref="D34:M34" si="10">D33*100/(D35-D33)</f>
        <v>0</v>
      </c>
      <c r="E34" s="741">
        <f t="shared" si="10"/>
        <v>0</v>
      </c>
      <c r="F34" s="741">
        <f t="shared" si="10"/>
        <v>0</v>
      </c>
      <c r="G34" s="741">
        <f t="shared" si="10"/>
        <v>0</v>
      </c>
      <c r="H34" s="741">
        <f t="shared" si="10"/>
        <v>0</v>
      </c>
      <c r="I34" s="741">
        <f t="shared" si="10"/>
        <v>0</v>
      </c>
      <c r="J34" s="741">
        <f t="shared" si="10"/>
        <v>0</v>
      </c>
      <c r="K34" s="741">
        <f t="shared" si="10"/>
        <v>0</v>
      </c>
      <c r="L34" s="741">
        <f t="shared" si="10"/>
        <v>0</v>
      </c>
      <c r="M34" s="816">
        <f t="shared" si="10"/>
        <v>0</v>
      </c>
      <c r="N34" s="806"/>
    </row>
    <row r="35" spans="1:14" x14ac:dyDescent="0.25">
      <c r="A35" s="744" t="s">
        <v>301</v>
      </c>
      <c r="B35" s="803" t="s">
        <v>53</v>
      </c>
      <c r="C35" s="830">
        <f>$C9*$C3*C29*C21^2*0.0001323*(1+C30/100)+C33</f>
        <v>19.467423428744247</v>
      </c>
      <c r="D35" s="747">
        <f t="shared" ref="D35:M35" si="11">$C9*$C3*D29*D21^2*0.0001323*(1+D30/100)+D33</f>
        <v>4.2821007901597277</v>
      </c>
      <c r="E35" s="747">
        <f t="shared" si="11"/>
        <v>7.7251956497766017</v>
      </c>
      <c r="F35" s="747">
        <f t="shared" si="11"/>
        <v>12.064469689727018</v>
      </c>
      <c r="G35" s="747">
        <f t="shared" si="11"/>
        <v>17.247792436175587</v>
      </c>
      <c r="H35" s="747">
        <f t="shared" si="11"/>
        <v>23.550344942311696</v>
      </c>
      <c r="I35" s="747">
        <f t="shared" si="11"/>
        <v>31.297937872200347</v>
      </c>
      <c r="J35" s="747">
        <f t="shared" si="11"/>
        <v>41.198368294988782</v>
      </c>
      <c r="K35" s="747">
        <f t="shared" si="11"/>
        <v>41.312740457161901</v>
      </c>
      <c r="L35" s="747">
        <f t="shared" si="11"/>
        <v>41.427427409999737</v>
      </c>
      <c r="M35" s="817">
        <f t="shared" si="11"/>
        <v>47.581671550665945</v>
      </c>
      <c r="N35" s="807">
        <f>$C9*$C3*N29*N21^2*0.0001323*(1+N30/100)+N33</f>
        <v>990.98148196937916</v>
      </c>
    </row>
    <row r="36" spans="1:14" x14ac:dyDescent="0.25">
      <c r="A36" s="15" t="s">
        <v>55</v>
      </c>
      <c r="B36" s="16" t="s">
        <v>56</v>
      </c>
      <c r="C36" s="89">
        <f t="shared" ref="C36:N36" si="12">C35*C21*0.5144</f>
        <v>60.951245062313355</v>
      </c>
      <c r="D36" s="824">
        <f t="shared" si="12"/>
        <v>5.9473241454370411</v>
      </c>
      <c r="E36" s="241">
        <f t="shared" si="12"/>
        <v>14.703210376306806</v>
      </c>
      <c r="F36" s="241">
        <f t="shared" si="12"/>
        <v>29.168027079459208</v>
      </c>
      <c r="G36" s="241">
        <f t="shared" si="12"/>
        <v>50.571907246261709</v>
      </c>
      <c r="H36" s="241">
        <f t="shared" si="12"/>
        <v>81.165792836778408</v>
      </c>
      <c r="I36" s="241">
        <f t="shared" si="12"/>
        <v>123.96737615924089</v>
      </c>
      <c r="J36" s="814">
        <f t="shared" si="12"/>
        <v>184.16230925668796</v>
      </c>
      <c r="K36" s="814">
        <f t="shared" si="12"/>
        <v>184.88608111312749</v>
      </c>
      <c r="L36" s="814">
        <f t="shared" si="12"/>
        <v>185.61244002602064</v>
      </c>
      <c r="M36" s="242">
        <f t="shared" si="12"/>
        <v>225.42406909855217</v>
      </c>
      <c r="N36" s="607">
        <f t="shared" si="12"/>
        <v>8273.8639938069173</v>
      </c>
    </row>
    <row r="37" spans="1:14" x14ac:dyDescent="0.25">
      <c r="A37" s="15" t="s">
        <v>57</v>
      </c>
      <c r="B37" s="16" t="s">
        <v>28</v>
      </c>
      <c r="C37" s="88">
        <f t="shared" ref="C37:N37" si="13">$K5*$K6*$K7*C41</f>
        <v>0.64680244691157784</v>
      </c>
      <c r="D37" s="348">
        <f t="shared" si="13"/>
        <v>0.63278721750711764</v>
      </c>
      <c r="E37" s="19">
        <f t="shared" si="13"/>
        <v>0.6379081624520192</v>
      </c>
      <c r="F37" s="19">
        <f t="shared" si="13"/>
        <v>0.64201992880029524</v>
      </c>
      <c r="G37" s="19">
        <f t="shared" si="13"/>
        <v>0.64554739242638848</v>
      </c>
      <c r="H37" s="19">
        <f t="shared" si="13"/>
        <v>0.64700475853165351</v>
      </c>
      <c r="I37" s="19">
        <f t="shared" si="13"/>
        <v>0.64624333664696409</v>
      </c>
      <c r="J37" s="813">
        <f t="shared" si="13"/>
        <v>0.64215574990141666</v>
      </c>
      <c r="K37" s="813">
        <f t="shared" si="13"/>
        <v>0.64209676391054893</v>
      </c>
      <c r="L37" s="813">
        <f t="shared" si="13"/>
        <v>0.64203744455626632</v>
      </c>
      <c r="M37" s="238">
        <f t="shared" si="13"/>
        <v>0.63866121955002553</v>
      </c>
      <c r="N37" s="17">
        <f t="shared" si="13"/>
        <v>0.33827214768384589</v>
      </c>
    </row>
    <row r="38" spans="1:14" x14ac:dyDescent="0.25">
      <c r="A38" s="15" t="s">
        <v>58</v>
      </c>
      <c r="B38" s="16" t="s">
        <v>56</v>
      </c>
      <c r="C38" s="115">
        <f t="shared" ref="C38:N38" si="14">C36/C37</f>
        <v>94.234716262051791</v>
      </c>
      <c r="D38" s="825">
        <f t="shared" si="14"/>
        <v>9.3986161238633823</v>
      </c>
      <c r="E38" s="245">
        <f t="shared" si="14"/>
        <v>23.049102114934485</v>
      </c>
      <c r="F38" s="245">
        <f t="shared" si="14"/>
        <v>45.431653708886856</v>
      </c>
      <c r="G38" s="245">
        <f t="shared" si="14"/>
        <v>78.339573266928511</v>
      </c>
      <c r="H38" s="245">
        <f t="shared" si="14"/>
        <v>125.44852532612018</v>
      </c>
      <c r="I38" s="245">
        <f t="shared" si="14"/>
        <v>191.82770502895406</v>
      </c>
      <c r="J38" s="818">
        <f t="shared" si="14"/>
        <v>286.78760454136</v>
      </c>
      <c r="K38" s="818">
        <f t="shared" si="14"/>
        <v>287.94115078095012</v>
      </c>
      <c r="L38" s="818">
        <f t="shared" si="14"/>
        <v>289.09908853416431</v>
      </c>
      <c r="M38" s="246">
        <f t="shared" si="14"/>
        <v>352.9634526069654</v>
      </c>
      <c r="N38" s="624">
        <f t="shared" si="14"/>
        <v>24459.193730427349</v>
      </c>
    </row>
    <row r="39" spans="1:14" x14ac:dyDescent="0.25">
      <c r="A39" s="35" t="s">
        <v>59</v>
      </c>
      <c r="B39" s="37" t="s">
        <v>28</v>
      </c>
      <c r="C39" s="93">
        <f t="shared" ref="C39:N39" si="15">2.54648*C35/(1-$K4)/$C17/$C3/(C42*$C18)^2/$K7</f>
        <v>1.2656311619274836</v>
      </c>
      <c r="D39" s="826">
        <f t="shared" si="15"/>
        <v>1.4147325111822446</v>
      </c>
      <c r="E39" s="247">
        <f t="shared" si="15"/>
        <v>1.3590987594595718</v>
      </c>
      <c r="F39" s="247">
        <f t="shared" si="15"/>
        <v>1.3153989707993321</v>
      </c>
      <c r="G39" s="247">
        <f t="shared" si="15"/>
        <v>1.2785825788867244</v>
      </c>
      <c r="H39" s="247">
        <f t="shared" si="15"/>
        <v>1.26355061703246</v>
      </c>
      <c r="I39" s="247">
        <f t="shared" si="15"/>
        <v>1.27139134519896</v>
      </c>
      <c r="J39" s="819">
        <f t="shared" si="15"/>
        <v>1.3139699697687768</v>
      </c>
      <c r="K39" s="819">
        <f t="shared" si="15"/>
        <v>1.3145904601009941</v>
      </c>
      <c r="L39" s="819">
        <f t="shared" si="15"/>
        <v>1.3152146323020588</v>
      </c>
      <c r="M39" s="248">
        <f t="shared" si="15"/>
        <v>1.3510313021340901</v>
      </c>
      <c r="N39" s="20">
        <f t="shared" si="15"/>
        <v>9.0599699813724417</v>
      </c>
    </row>
    <row r="40" spans="1:14" x14ac:dyDescent="0.25">
      <c r="A40" s="35" t="s">
        <v>60</v>
      </c>
      <c r="B40" s="48" t="s">
        <v>28</v>
      </c>
      <c r="C40" s="93">
        <f t="shared" ref="C40:N40" si="16">(1.3+0.3*$C19)*C35/(1-$K4)/$C17/(99.6+$C3*9.81*0.65*$C18)/$C18^2+C75</f>
        <v>0.25620073755282424</v>
      </c>
      <c r="D40" s="826">
        <f t="shared" si="16"/>
        <v>0.21236204799075623</v>
      </c>
      <c r="E40" s="247">
        <f t="shared" si="16"/>
        <v>0.22230195972499686</v>
      </c>
      <c r="F40" s="247">
        <f t="shared" si="16"/>
        <v>0.23482906185444222</v>
      </c>
      <c r="G40" s="247">
        <f t="shared" si="16"/>
        <v>0.24979285829062683</v>
      </c>
      <c r="H40" s="247">
        <f t="shared" si="16"/>
        <v>0.26798777250753603</v>
      </c>
      <c r="I40" s="247">
        <f t="shared" si="16"/>
        <v>0.29035439120838974</v>
      </c>
      <c r="J40" s="819">
        <f t="shared" si="16"/>
        <v>0.31893606221830728</v>
      </c>
      <c r="K40" s="819">
        <f t="shared" si="16"/>
        <v>0.31926624458132868</v>
      </c>
      <c r="L40" s="819">
        <f t="shared" si="16"/>
        <v>0.31959733571728532</v>
      </c>
      <c r="M40" s="248">
        <f t="shared" si="16"/>
        <v>0.33736409673995338</v>
      </c>
      <c r="N40" s="20">
        <f t="shared" si="16"/>
        <v>3.060876293759355</v>
      </c>
    </row>
    <row r="41" spans="1:14" ht="13.8" thickBot="1" x14ac:dyDescent="0.3">
      <c r="A41" s="35" t="s">
        <v>61</v>
      </c>
      <c r="B41" s="37" t="s">
        <v>28</v>
      </c>
      <c r="C41" s="636">
        <f t="shared" ref="C41:M41" si="17">(1+$K15/100)*IF($K14=1,MAX(0.69,0.81-0.014*C39),IF(C39&lt;7,-0.000205*C39^4+0.00518*C39^3-0.0462*C39^2+0.177*C39+0.59,0.85))/(1+SQRT(1+C39))*2</f>
        <v>0.63250896591757144</v>
      </c>
      <c r="D41" s="409">
        <f t="shared" si="17"/>
        <v>0.61880345459793884</v>
      </c>
      <c r="E41" s="268">
        <f t="shared" si="17"/>
        <v>0.62381123341369116</v>
      </c>
      <c r="F41" s="268">
        <f t="shared" si="17"/>
        <v>0.62783213514877423</v>
      </c>
      <c r="G41" s="268">
        <f t="shared" si="17"/>
        <v>0.63128164648118434</v>
      </c>
      <c r="H41" s="268">
        <f t="shared" si="17"/>
        <v>0.63270680671767687</v>
      </c>
      <c r="I41" s="268">
        <f t="shared" si="17"/>
        <v>0.63196221125238217</v>
      </c>
      <c r="J41" s="820">
        <f t="shared" si="17"/>
        <v>0.62796495478269843</v>
      </c>
      <c r="K41" s="820">
        <f t="shared" si="17"/>
        <v>0.62790727230443089</v>
      </c>
      <c r="L41" s="820">
        <f t="shared" si="17"/>
        <v>0.62784926382964024</v>
      </c>
      <c r="M41" s="270">
        <f t="shared" si="17"/>
        <v>0.62454764894305592</v>
      </c>
      <c r="N41" s="625">
        <f>IF($K14=1,MAX(0.69,0.81-0.014*N39),IF(N39&lt;7,-0.000205*N39^4+0.00518*N39^3-0.0462*N39^2+0.177*N39+0.59,0.85))/(1+SQRT(1+N39))*2</f>
        <v>0.33079677937500929</v>
      </c>
    </row>
    <row r="42" spans="1:14" ht="13.8" thickTop="1" x14ac:dyDescent="0.25">
      <c r="A42" s="50" t="s">
        <v>62</v>
      </c>
      <c r="B42" s="51" t="s">
        <v>63</v>
      </c>
      <c r="C42" s="94">
        <f t="shared" ref="C42:N42" si="18">C21*0.5144*(1-$K3)</f>
        <v>2.2981653559697044</v>
      </c>
      <c r="D42" s="827">
        <f t="shared" si="18"/>
        <v>1.0194639929992473</v>
      </c>
      <c r="E42" s="637">
        <f t="shared" si="18"/>
        <v>1.3970432496656353</v>
      </c>
      <c r="F42" s="637">
        <f t="shared" si="18"/>
        <v>1.7746225063320233</v>
      </c>
      <c r="G42" s="637">
        <f t="shared" si="18"/>
        <v>2.1522017629984114</v>
      </c>
      <c r="H42" s="637">
        <f t="shared" si="18"/>
        <v>2.5297810196647994</v>
      </c>
      <c r="I42" s="637">
        <f t="shared" si="18"/>
        <v>2.9073602763311874</v>
      </c>
      <c r="J42" s="637">
        <f t="shared" si="18"/>
        <v>3.2811637404309115</v>
      </c>
      <c r="K42" s="637">
        <f t="shared" si="18"/>
        <v>3.2849395329975755</v>
      </c>
      <c r="L42" s="637">
        <f t="shared" si="18"/>
        <v>3.2887153255642394</v>
      </c>
      <c r="M42" s="264">
        <f t="shared" si="18"/>
        <v>3.4775049538974332</v>
      </c>
      <c r="N42" s="808">
        <f t="shared" si="18"/>
        <v>6.1284409492525453</v>
      </c>
    </row>
    <row r="43" spans="1:14" x14ac:dyDescent="0.25">
      <c r="A43" s="35" t="s">
        <v>64</v>
      </c>
      <c r="B43" s="37" t="s">
        <v>63</v>
      </c>
      <c r="C43" s="93">
        <f t="shared" ref="C43:N43" si="19">C42*SQRT(1+C39)</f>
        <v>3.4592016405192032</v>
      </c>
      <c r="D43" s="826">
        <f t="shared" si="19"/>
        <v>1.5841868572842048</v>
      </c>
      <c r="E43" s="247">
        <f t="shared" si="19"/>
        <v>2.1457687311853175</v>
      </c>
      <c r="F43" s="247">
        <f t="shared" si="19"/>
        <v>2.7003428190368308</v>
      </c>
      <c r="G43" s="247">
        <f t="shared" si="19"/>
        <v>3.2487430926149621</v>
      </c>
      <c r="H43" s="247">
        <f t="shared" si="19"/>
        <v>3.8060810747220102</v>
      </c>
      <c r="I43" s="247">
        <f t="shared" si="19"/>
        <v>4.3817221565125903</v>
      </c>
      <c r="J43" s="247">
        <f t="shared" si="19"/>
        <v>4.9912205742522344</v>
      </c>
      <c r="K43" s="247">
        <f t="shared" si="19"/>
        <v>4.9976341335742607</v>
      </c>
      <c r="L43" s="247">
        <f t="shared" si="19"/>
        <v>5.0040531220107738</v>
      </c>
      <c r="M43" s="248">
        <f t="shared" si="19"/>
        <v>5.3320837609683007</v>
      </c>
      <c r="N43" s="809">
        <f t="shared" si="19"/>
        <v>19.437855451659242</v>
      </c>
    </row>
    <row r="44" spans="1:14" x14ac:dyDescent="0.25">
      <c r="A44" s="35" t="s">
        <v>65</v>
      </c>
      <c r="B44" s="37" t="s">
        <v>63</v>
      </c>
      <c r="C44" s="93">
        <f t="shared" ref="C44:N44" si="20">C43-C42</f>
        <v>1.1610362845494988</v>
      </c>
      <c r="D44" s="826">
        <f t="shared" si="20"/>
        <v>0.56472286428495755</v>
      </c>
      <c r="E44" s="247">
        <f t="shared" si="20"/>
        <v>0.74872548151968221</v>
      </c>
      <c r="F44" s="247">
        <f t="shared" si="20"/>
        <v>0.92572031270480748</v>
      </c>
      <c r="G44" s="247">
        <f t="shared" si="20"/>
        <v>1.0965413296165507</v>
      </c>
      <c r="H44" s="247">
        <f t="shared" si="20"/>
        <v>1.2763000550572108</v>
      </c>
      <c r="I44" s="247">
        <f t="shared" si="20"/>
        <v>1.4743618801814029</v>
      </c>
      <c r="J44" s="247">
        <f t="shared" si="20"/>
        <v>1.7100568338213229</v>
      </c>
      <c r="K44" s="247">
        <f t="shared" si="20"/>
        <v>1.7126946005766852</v>
      </c>
      <c r="L44" s="247">
        <f t="shared" si="20"/>
        <v>1.7153377964465344</v>
      </c>
      <c r="M44" s="248">
        <f t="shared" si="20"/>
        <v>1.8545788070708675</v>
      </c>
      <c r="N44" s="809">
        <f t="shared" si="20"/>
        <v>13.309414502406696</v>
      </c>
    </row>
    <row r="45" spans="1:14" x14ac:dyDescent="0.25">
      <c r="A45" s="35" t="s">
        <v>66</v>
      </c>
      <c r="B45" s="37" t="s">
        <v>28</v>
      </c>
      <c r="C45" s="93">
        <f t="shared" ref="C45:N45" si="21">C43/C42</f>
        <v>1.505201369228544</v>
      </c>
      <c r="D45" s="826">
        <f t="shared" si="21"/>
        <v>1.5539409612923667</v>
      </c>
      <c r="E45" s="247">
        <f t="shared" si="21"/>
        <v>1.5359357927529302</v>
      </c>
      <c r="F45" s="247">
        <f t="shared" si="21"/>
        <v>1.521643509761512</v>
      </c>
      <c r="G45" s="247">
        <f t="shared" si="21"/>
        <v>1.5094974590527552</v>
      </c>
      <c r="H45" s="247">
        <f t="shared" si="21"/>
        <v>1.5045100920341015</v>
      </c>
      <c r="I45" s="247">
        <f t="shared" si="21"/>
        <v>1.5071135807227536</v>
      </c>
      <c r="J45" s="247">
        <f t="shared" si="21"/>
        <v>1.5211738788740676</v>
      </c>
      <c r="K45" s="247">
        <f t="shared" si="21"/>
        <v>1.5213778163562772</v>
      </c>
      <c r="L45" s="247">
        <f t="shared" si="21"/>
        <v>1.521582936386334</v>
      </c>
      <c r="M45" s="248">
        <f t="shared" si="21"/>
        <v>1.5333073084460564</v>
      </c>
      <c r="N45" s="809">
        <f t="shared" si="21"/>
        <v>3.1717455732407731</v>
      </c>
    </row>
    <row r="46" spans="1:14" x14ac:dyDescent="0.25">
      <c r="A46" s="35" t="s">
        <v>67</v>
      </c>
      <c r="B46" s="37" t="s">
        <v>63</v>
      </c>
      <c r="C46" s="93">
        <f t="shared" ref="C46:N46" si="22">C42+0.5*C44</f>
        <v>2.8786834982444538</v>
      </c>
      <c r="D46" s="826">
        <f t="shared" si="22"/>
        <v>1.3018254251417261</v>
      </c>
      <c r="E46" s="247">
        <f t="shared" si="22"/>
        <v>1.7714059904254764</v>
      </c>
      <c r="F46" s="247">
        <f t="shared" si="22"/>
        <v>2.2374826626844273</v>
      </c>
      <c r="G46" s="247">
        <f t="shared" si="22"/>
        <v>2.7004724278066865</v>
      </c>
      <c r="H46" s="247">
        <f t="shared" si="22"/>
        <v>3.167931047193405</v>
      </c>
      <c r="I46" s="247">
        <f t="shared" si="22"/>
        <v>3.6445412164218887</v>
      </c>
      <c r="J46" s="247">
        <f t="shared" si="22"/>
        <v>4.136192157341573</v>
      </c>
      <c r="K46" s="247">
        <f t="shared" si="22"/>
        <v>4.1412868332859176</v>
      </c>
      <c r="L46" s="247">
        <f t="shared" si="22"/>
        <v>4.146384223787507</v>
      </c>
      <c r="M46" s="248">
        <f t="shared" si="22"/>
        <v>4.4047943574328672</v>
      </c>
      <c r="N46" s="809">
        <f t="shared" si="22"/>
        <v>12.783148200455894</v>
      </c>
    </row>
    <row r="47" spans="1:14" x14ac:dyDescent="0.25">
      <c r="A47" s="35" t="s">
        <v>68</v>
      </c>
      <c r="B47" s="37" t="s">
        <v>69</v>
      </c>
      <c r="C47" s="92">
        <f t="shared" ref="C47:N47" si="23">0.785*$C18^2*C46</f>
        <v>21.346795436000825</v>
      </c>
      <c r="D47" s="828">
        <f t="shared" si="23"/>
        <v>9.6536493368696679</v>
      </c>
      <c r="E47" s="253">
        <f t="shared" si="23"/>
        <v>13.135810635236419</v>
      </c>
      <c r="F47" s="253">
        <f t="shared" si="23"/>
        <v>16.591988914742071</v>
      </c>
      <c r="G47" s="253">
        <f t="shared" si="23"/>
        <v>20.025276322355388</v>
      </c>
      <c r="H47" s="253">
        <f t="shared" si="23"/>
        <v>23.491702391400185</v>
      </c>
      <c r="I47" s="253">
        <f t="shared" si="23"/>
        <v>27.025991517468675</v>
      </c>
      <c r="J47" s="253">
        <f t="shared" si="23"/>
        <v>30.671815057336897</v>
      </c>
      <c r="K47" s="253">
        <f t="shared" si="23"/>
        <v>30.709594481599051</v>
      </c>
      <c r="L47" s="253">
        <f t="shared" si="23"/>
        <v>30.747394035583085</v>
      </c>
      <c r="M47" s="244">
        <f t="shared" si="23"/>
        <v>32.663627016694477</v>
      </c>
      <c r="N47" s="607">
        <f t="shared" si="23"/>
        <v>94.793071148539823</v>
      </c>
    </row>
    <row r="48" spans="1:14" ht="13.8" thickBot="1" x14ac:dyDescent="0.3">
      <c r="A48" s="35" t="s">
        <v>70</v>
      </c>
      <c r="B48" s="37" t="s">
        <v>28</v>
      </c>
      <c r="C48" s="88">
        <f>C64+C65+C117</f>
        <v>0.66817570679746718</v>
      </c>
      <c r="D48" s="829">
        <f t="shared" ref="D48:N48" si="24">D64+D65+D117</f>
        <v>0.66817570679746718</v>
      </c>
      <c r="E48" s="638">
        <f t="shared" si="24"/>
        <v>0.66817570679746718</v>
      </c>
      <c r="F48" s="638">
        <f t="shared" si="24"/>
        <v>0.66817570679746718</v>
      </c>
      <c r="G48" s="638">
        <f t="shared" si="24"/>
        <v>0.66817570679746718</v>
      </c>
      <c r="H48" s="638">
        <f t="shared" si="24"/>
        <v>0.70797288361985444</v>
      </c>
      <c r="I48" s="638">
        <f t="shared" si="24"/>
        <v>0.7931759528599841</v>
      </c>
      <c r="J48" s="638">
        <f t="shared" si="24"/>
        <v>0.95231337147621464</v>
      </c>
      <c r="K48" s="638">
        <f t="shared" si="24"/>
        <v>0.95433633892920822</v>
      </c>
      <c r="L48" s="638">
        <f t="shared" si="24"/>
        <v>0.95636736416841761</v>
      </c>
      <c r="M48" s="266">
        <f t="shared" si="24"/>
        <v>1.0680152478733682</v>
      </c>
      <c r="N48" s="810">
        <f t="shared" si="24"/>
        <v>18.899439531596212</v>
      </c>
    </row>
    <row r="49" spans="1:14" x14ac:dyDescent="0.25">
      <c r="A49" s="50"/>
      <c r="B49" s="55" t="s">
        <v>71</v>
      </c>
      <c r="C49" s="54">
        <f t="shared" ref="C49:N49" si="25">1.35-0.23*$C13+0.012*$C13^2</f>
        <v>0.48001206892545667</v>
      </c>
      <c r="D49" s="54">
        <f t="shared" si="25"/>
        <v>0.48001206892545667</v>
      </c>
      <c r="E49" s="54">
        <f t="shared" si="25"/>
        <v>0.48001206892545667</v>
      </c>
      <c r="F49" s="54">
        <f t="shared" si="25"/>
        <v>0.48001206892545667</v>
      </c>
      <c r="G49" s="54">
        <f t="shared" si="25"/>
        <v>0.48001206892545667</v>
      </c>
      <c r="H49" s="54">
        <f t="shared" si="25"/>
        <v>0.48001206892545667</v>
      </c>
      <c r="I49" s="54">
        <f t="shared" si="25"/>
        <v>0.48001206892545667</v>
      </c>
      <c r="J49" s="54">
        <f t="shared" si="25"/>
        <v>0.48001206892545667</v>
      </c>
      <c r="K49" s="54">
        <f t="shared" si="25"/>
        <v>0.48001206892545667</v>
      </c>
      <c r="L49" s="54">
        <f t="shared" si="25"/>
        <v>0.48001206892545667</v>
      </c>
      <c r="M49" s="54">
        <f t="shared" si="25"/>
        <v>0.48001206892545667</v>
      </c>
      <c r="N49" s="57">
        <f t="shared" si="25"/>
        <v>0.48001206892545667</v>
      </c>
    </row>
    <row r="50" spans="1:14" x14ac:dyDescent="0.25">
      <c r="A50" s="35"/>
      <c r="B50" s="53" t="s">
        <v>72</v>
      </c>
      <c r="C50" s="43">
        <f t="shared" ref="C50:N50" si="26">0.0011*$C13^9.1</f>
        <v>3515.2608674703433</v>
      </c>
      <c r="D50" s="43">
        <f t="shared" si="26"/>
        <v>3515.2608674703433</v>
      </c>
      <c r="E50" s="43">
        <f t="shared" si="26"/>
        <v>3515.2608674703433</v>
      </c>
      <c r="F50" s="43">
        <f t="shared" si="26"/>
        <v>3515.2608674703433</v>
      </c>
      <c r="G50" s="43">
        <f t="shared" si="26"/>
        <v>3515.2608674703433</v>
      </c>
      <c r="H50" s="43">
        <f t="shared" si="26"/>
        <v>3515.2608674703433</v>
      </c>
      <c r="I50" s="43">
        <f t="shared" si="26"/>
        <v>3515.2608674703433</v>
      </c>
      <c r="J50" s="43">
        <f t="shared" si="26"/>
        <v>3515.2608674703433</v>
      </c>
      <c r="K50" s="43">
        <f t="shared" si="26"/>
        <v>3515.2608674703433</v>
      </c>
      <c r="L50" s="43">
        <f t="shared" si="26"/>
        <v>3515.2608674703433</v>
      </c>
      <c r="M50" s="43">
        <f t="shared" si="26"/>
        <v>3515.2608674703433</v>
      </c>
      <c r="N50" s="46">
        <f t="shared" si="26"/>
        <v>3515.2608674703433</v>
      </c>
    </row>
    <row r="51" spans="1:14" x14ac:dyDescent="0.25">
      <c r="A51" s="35"/>
      <c r="B51" s="53" t="s">
        <v>73</v>
      </c>
      <c r="C51" s="42">
        <f t="shared" ref="C51:N51" si="27">2*$C13-3.7</f>
        <v>6.6709214403505195</v>
      </c>
      <c r="D51" s="42">
        <f t="shared" si="27"/>
        <v>6.6709214403505195</v>
      </c>
      <c r="E51" s="42">
        <f t="shared" si="27"/>
        <v>6.6709214403505195</v>
      </c>
      <c r="F51" s="42">
        <f t="shared" si="27"/>
        <v>6.6709214403505195</v>
      </c>
      <c r="G51" s="42">
        <f t="shared" si="27"/>
        <v>6.6709214403505195</v>
      </c>
      <c r="H51" s="42">
        <f t="shared" si="27"/>
        <v>6.6709214403505195</v>
      </c>
      <c r="I51" s="42">
        <f t="shared" si="27"/>
        <v>6.6709214403505195</v>
      </c>
      <c r="J51" s="42">
        <f t="shared" si="27"/>
        <v>6.6709214403505195</v>
      </c>
      <c r="K51" s="42">
        <f t="shared" si="27"/>
        <v>6.6709214403505195</v>
      </c>
      <c r="L51" s="42">
        <f t="shared" si="27"/>
        <v>6.6709214403505195</v>
      </c>
      <c r="M51" s="42">
        <f t="shared" si="27"/>
        <v>6.6709214403505195</v>
      </c>
      <c r="N51" s="56">
        <f t="shared" si="27"/>
        <v>6.6709214403505195</v>
      </c>
    </row>
    <row r="52" spans="1:14" x14ac:dyDescent="0.25">
      <c r="A52" s="35"/>
      <c r="B52" s="53" t="s">
        <v>74</v>
      </c>
      <c r="C52" s="42">
        <f t="shared" ref="C52:N52" si="28">7-0.09*$C13^2</f>
        <v>4.5799897407567531</v>
      </c>
      <c r="D52" s="42">
        <f t="shared" si="28"/>
        <v>4.5799897407567531</v>
      </c>
      <c r="E52" s="42">
        <f t="shared" si="28"/>
        <v>4.5799897407567531</v>
      </c>
      <c r="F52" s="42">
        <f t="shared" si="28"/>
        <v>4.5799897407567531</v>
      </c>
      <c r="G52" s="42">
        <f t="shared" si="28"/>
        <v>4.5799897407567531</v>
      </c>
      <c r="H52" s="42">
        <f t="shared" si="28"/>
        <v>4.5799897407567531</v>
      </c>
      <c r="I52" s="42">
        <f t="shared" si="28"/>
        <v>4.5799897407567531</v>
      </c>
      <c r="J52" s="42">
        <f t="shared" si="28"/>
        <v>4.5799897407567531</v>
      </c>
      <c r="K52" s="42">
        <f t="shared" si="28"/>
        <v>4.5799897407567531</v>
      </c>
      <c r="L52" s="42">
        <f t="shared" si="28"/>
        <v>4.5799897407567531</v>
      </c>
      <c r="M52" s="42">
        <f t="shared" si="28"/>
        <v>4.5799897407567531</v>
      </c>
      <c r="N52" s="56">
        <f t="shared" si="28"/>
        <v>4.5799897407567531</v>
      </c>
    </row>
    <row r="53" spans="1:14" x14ac:dyDescent="0.25">
      <c r="A53" s="35"/>
      <c r="B53" s="53" t="s">
        <v>75</v>
      </c>
      <c r="C53" s="42">
        <f t="shared" ref="C53:N53" si="29">(5*$C12-2.5)^2</f>
        <v>1.8268761418717794</v>
      </c>
      <c r="D53" s="42">
        <f t="shared" si="29"/>
        <v>1.8268761418717794</v>
      </c>
      <c r="E53" s="42">
        <f t="shared" si="29"/>
        <v>1.8268761418717794</v>
      </c>
      <c r="F53" s="42">
        <f t="shared" si="29"/>
        <v>1.8268761418717794</v>
      </c>
      <c r="G53" s="42">
        <f t="shared" si="29"/>
        <v>1.8268761418717794</v>
      </c>
      <c r="H53" s="42">
        <f t="shared" si="29"/>
        <v>1.8268761418717794</v>
      </c>
      <c r="I53" s="42">
        <f t="shared" si="29"/>
        <v>1.8268761418717794</v>
      </c>
      <c r="J53" s="42">
        <f t="shared" si="29"/>
        <v>1.8268761418717794</v>
      </c>
      <c r="K53" s="42">
        <f t="shared" si="29"/>
        <v>1.8268761418717794</v>
      </c>
      <c r="L53" s="42">
        <f t="shared" si="29"/>
        <v>1.8268761418717794</v>
      </c>
      <c r="M53" s="42">
        <f t="shared" si="29"/>
        <v>1.8268761418717794</v>
      </c>
      <c r="N53" s="56">
        <f t="shared" si="29"/>
        <v>1.8268761418717794</v>
      </c>
    </row>
    <row r="54" spans="1:14" x14ac:dyDescent="0.25">
      <c r="A54" s="35"/>
      <c r="B54" s="53" t="s">
        <v>76</v>
      </c>
      <c r="C54" s="42">
        <f t="shared" ref="C54:N54" si="30">(600*(C22-0.315)^2+1)^1.5</f>
        <v>116.21866402766382</v>
      </c>
      <c r="D54" s="42">
        <f t="shared" si="30"/>
        <v>273.29546241583762</v>
      </c>
      <c r="E54" s="42">
        <f t="shared" si="30"/>
        <v>217.38456246735646</v>
      </c>
      <c r="F54" s="42">
        <f t="shared" si="30"/>
        <v>169.77115865014798</v>
      </c>
      <c r="G54" s="42">
        <f t="shared" si="30"/>
        <v>129.77970965709736</v>
      </c>
      <c r="H54" s="42">
        <f t="shared" si="30"/>
        <v>96.734771773564887</v>
      </c>
      <c r="I54" s="42">
        <f t="shared" si="30"/>
        <v>69.961055060850114</v>
      </c>
      <c r="J54" s="42">
        <f t="shared" si="30"/>
        <v>48.969812584235903</v>
      </c>
      <c r="K54" s="42">
        <f t="shared" si="30"/>
        <v>48.783522832597932</v>
      </c>
      <c r="L54" s="42">
        <f t="shared" si="30"/>
        <v>48.597725233365239</v>
      </c>
      <c r="M54" s="42">
        <f t="shared" si="30"/>
        <v>39.920439453522164</v>
      </c>
      <c r="N54" s="56">
        <f t="shared" si="30"/>
        <v>1.0225841652402019</v>
      </c>
    </row>
    <row r="55" spans="1:14" x14ac:dyDescent="0.25">
      <c r="A55" s="35"/>
      <c r="B55" s="53" t="s">
        <v>77</v>
      </c>
      <c r="C55" s="42">
        <f t="shared" ref="C55:N55" si="31">C52*C53/C54</f>
        <v>7.1994236531701936E-2</v>
      </c>
      <c r="D55" s="42">
        <f t="shared" si="31"/>
        <v>3.061548813670004E-2</v>
      </c>
      <c r="E55" s="42">
        <f t="shared" si="31"/>
        <v>3.8489734010723371E-2</v>
      </c>
      <c r="F55" s="42">
        <f t="shared" si="31"/>
        <v>4.9284425304820377E-2</v>
      </c>
      <c r="G55" s="42">
        <f t="shared" si="31"/>
        <v>6.4471356959523385E-2</v>
      </c>
      <c r="H55" s="42">
        <f t="shared" si="31"/>
        <v>8.649499899572341E-2</v>
      </c>
      <c r="I55" s="42">
        <f t="shared" si="31"/>
        <v>0.11959616646902463</v>
      </c>
      <c r="J55" s="42">
        <f t="shared" si="31"/>
        <v>0.17086187481345419</v>
      </c>
      <c r="K55" s="42">
        <f t="shared" si="31"/>
        <v>0.17151434545057118</v>
      </c>
      <c r="L55" s="42">
        <f t="shared" si="31"/>
        <v>0.17217007477670029</v>
      </c>
      <c r="M55" s="42">
        <f t="shared" si="31"/>
        <v>0.20959373448650262</v>
      </c>
      <c r="N55" s="56">
        <f t="shared" si="31"/>
        <v>8.1822839349762742</v>
      </c>
    </row>
    <row r="56" spans="1:14" x14ac:dyDescent="0.25">
      <c r="A56" s="35"/>
      <c r="B56" s="53"/>
      <c r="C56" s="42">
        <f t="shared" ref="C56:N56" si="32">C22-(0.04+0.59*$C12)-0.015*($C13-5)</f>
        <v>-0.37727304973963272</v>
      </c>
      <c r="D56" s="42">
        <f t="shared" si="32"/>
        <v>-0.44404116246827907</v>
      </c>
      <c r="E56" s="42">
        <f t="shared" si="32"/>
        <v>-0.42432564866407396</v>
      </c>
      <c r="F56" s="42">
        <f t="shared" si="32"/>
        <v>-0.40461013485986891</v>
      </c>
      <c r="G56" s="42">
        <f t="shared" si="32"/>
        <v>-0.38489462105566385</v>
      </c>
      <c r="H56" s="42">
        <f t="shared" si="32"/>
        <v>-0.36517910725145875</v>
      </c>
      <c r="I56" s="42">
        <f t="shared" si="32"/>
        <v>-0.34546359344725369</v>
      </c>
      <c r="J56" s="42">
        <f t="shared" si="32"/>
        <v>-0.32594523478109072</v>
      </c>
      <c r="K56" s="42">
        <f t="shared" si="32"/>
        <v>-0.32574807964304864</v>
      </c>
      <c r="L56" s="42">
        <f t="shared" si="32"/>
        <v>-0.32555092450500656</v>
      </c>
      <c r="M56" s="42">
        <f t="shared" si="32"/>
        <v>-0.31569316760290406</v>
      </c>
      <c r="N56" s="56">
        <f t="shared" si="32"/>
        <v>-0.1772730497396327</v>
      </c>
    </row>
    <row r="57" spans="1:14" x14ac:dyDescent="0.25">
      <c r="A57" s="18"/>
      <c r="B57" s="53" t="s">
        <v>78</v>
      </c>
      <c r="C57" s="42">
        <f t="shared" ref="C57:N57" si="33">EXP(80*C56)</f>
        <v>7.8017441895773083E-14</v>
      </c>
      <c r="D57" s="42">
        <f t="shared" si="33"/>
        <v>3.7361979014445969E-16</v>
      </c>
      <c r="E57" s="42">
        <f t="shared" si="33"/>
        <v>1.8089100865618152E-15</v>
      </c>
      <c r="F57" s="42">
        <f t="shared" si="33"/>
        <v>8.7579828145610224E-15</v>
      </c>
      <c r="G57" s="42">
        <f t="shared" si="33"/>
        <v>4.2402474036690903E-14</v>
      </c>
      <c r="H57" s="42">
        <f t="shared" si="33"/>
        <v>2.0529496831655735E-13</v>
      </c>
      <c r="I57" s="42">
        <f t="shared" si="33"/>
        <v>9.9395200335780274E-13</v>
      </c>
      <c r="J57" s="42">
        <f t="shared" si="33"/>
        <v>4.7369919921067331E-12</v>
      </c>
      <c r="K57" s="42">
        <f t="shared" si="33"/>
        <v>4.8122980951760161E-12</v>
      </c>
      <c r="L57" s="42">
        <f t="shared" si="33"/>
        <v>4.8888013734081126E-12</v>
      </c>
      <c r="M57" s="42">
        <f t="shared" si="33"/>
        <v>1.0757118351815119E-11</v>
      </c>
      <c r="N57" s="56">
        <f t="shared" si="33"/>
        <v>6.9327161121314084E-7</v>
      </c>
    </row>
    <row r="58" spans="1:14" x14ac:dyDescent="0.25">
      <c r="A58" s="18"/>
      <c r="B58" s="53"/>
      <c r="C58" s="42">
        <f t="shared" ref="C58:N58" si="34">20*$C12-16</f>
        <v>-0.59352071399987061</v>
      </c>
      <c r="D58" s="42">
        <f t="shared" si="34"/>
        <v>-0.59352071399987061</v>
      </c>
      <c r="E58" s="42">
        <f t="shared" si="34"/>
        <v>-0.59352071399987061</v>
      </c>
      <c r="F58" s="42">
        <f t="shared" si="34"/>
        <v>-0.59352071399987061</v>
      </c>
      <c r="G58" s="42">
        <f t="shared" si="34"/>
        <v>-0.59352071399987061</v>
      </c>
      <c r="H58" s="42">
        <f t="shared" si="34"/>
        <v>-0.59352071399987061</v>
      </c>
      <c r="I58" s="42">
        <f t="shared" si="34"/>
        <v>-0.59352071399987061</v>
      </c>
      <c r="J58" s="42">
        <f t="shared" si="34"/>
        <v>-0.59352071399987061</v>
      </c>
      <c r="K58" s="42">
        <f t="shared" si="34"/>
        <v>-0.59352071399987061</v>
      </c>
      <c r="L58" s="42">
        <f t="shared" si="34"/>
        <v>-0.59352071399987061</v>
      </c>
      <c r="M58" s="42">
        <f t="shared" si="34"/>
        <v>-0.59352071399987061</v>
      </c>
      <c r="N58" s="56">
        <f t="shared" si="34"/>
        <v>-0.59352071399987061</v>
      </c>
    </row>
    <row r="59" spans="1:14" x14ac:dyDescent="0.25">
      <c r="A59" s="18"/>
      <c r="B59" s="53" t="s">
        <v>79</v>
      </c>
      <c r="C59" s="42">
        <f t="shared" ref="C59:N59" si="35">180*C22^3.7*EXP(C58)</f>
        <v>3.894756802294673E-2</v>
      </c>
      <c r="D59" s="42">
        <f t="shared" si="35"/>
        <v>1.9246228173741072E-3</v>
      </c>
      <c r="E59" s="42">
        <f t="shared" si="35"/>
        <v>6.1751296736959329E-3</v>
      </c>
      <c r="F59" s="42">
        <f t="shared" si="35"/>
        <v>1.4964485068017435E-2</v>
      </c>
      <c r="G59" s="42">
        <f t="shared" si="35"/>
        <v>3.0551790608410734E-2</v>
      </c>
      <c r="H59" s="42">
        <f t="shared" si="35"/>
        <v>5.5561821239932356E-2</v>
      </c>
      <c r="I59" s="42">
        <f t="shared" si="35"/>
        <v>9.2964125010596768E-2</v>
      </c>
      <c r="J59" s="42">
        <f t="shared" si="35"/>
        <v>0.14543631958171258</v>
      </c>
      <c r="K59" s="42">
        <f t="shared" si="35"/>
        <v>0.14605651623722951</v>
      </c>
      <c r="L59" s="42">
        <f t="shared" si="35"/>
        <v>0.14667864063060926</v>
      </c>
      <c r="M59" s="42">
        <f t="shared" si="35"/>
        <v>0.18032682435286501</v>
      </c>
      <c r="N59" s="56">
        <f t="shared" si="35"/>
        <v>1.4674545322321628</v>
      </c>
    </row>
    <row r="60" spans="1:14" x14ac:dyDescent="0.25">
      <c r="A60" s="18"/>
      <c r="B60" s="53"/>
      <c r="C60" s="42">
        <f t="shared" ref="C60:N60" si="36">C49+1.5*C22^1.8+C50*C22^(C51)</f>
        <v>0.51555068174937724</v>
      </c>
      <c r="D60" s="42">
        <f t="shared" si="36"/>
        <v>0.48766513360845259</v>
      </c>
      <c r="E60" s="42">
        <f t="shared" si="36"/>
        <v>0.49357790396190288</v>
      </c>
      <c r="F60" s="42">
        <f t="shared" si="36"/>
        <v>0.50118947396329128</v>
      </c>
      <c r="G60" s="42">
        <f t="shared" si="36"/>
        <v>0.5109762154787002</v>
      </c>
      <c r="H60" s="42">
        <f t="shared" si="36"/>
        <v>0.52404984385110887</v>
      </c>
      <c r="I60" s="42">
        <f t="shared" si="36"/>
        <v>0.54255883193893883</v>
      </c>
      <c r="J60" s="42">
        <f t="shared" si="36"/>
        <v>0.56989048807728582</v>
      </c>
      <c r="K60" s="42">
        <f t="shared" si="36"/>
        <v>0.57022997217622717</v>
      </c>
      <c r="L60" s="42">
        <f t="shared" si="36"/>
        <v>0.57057094666642905</v>
      </c>
      <c r="M60" s="42">
        <f t="shared" si="36"/>
        <v>0.58969101740860108</v>
      </c>
      <c r="N60" s="56">
        <f t="shared" si="36"/>
        <v>2.4302493509711995</v>
      </c>
    </row>
    <row r="61" spans="1:14" x14ac:dyDescent="0.25">
      <c r="A61" s="35"/>
      <c r="B61" s="53"/>
      <c r="C61" s="42">
        <f t="shared" ref="C61:N61" si="37">0.98+2.5/($C13-2)^4</f>
        <v>1.0042801291201329</v>
      </c>
      <c r="D61" s="42">
        <f t="shared" si="37"/>
        <v>1.0042801291201329</v>
      </c>
      <c r="E61" s="42">
        <f t="shared" si="37"/>
        <v>1.0042801291201329</v>
      </c>
      <c r="F61" s="42">
        <f t="shared" si="37"/>
        <v>1.0042801291201329</v>
      </c>
      <c r="G61" s="42">
        <f t="shared" si="37"/>
        <v>1.0042801291201329</v>
      </c>
      <c r="H61" s="42">
        <f t="shared" si="37"/>
        <v>1.0042801291201329</v>
      </c>
      <c r="I61" s="42">
        <f t="shared" si="37"/>
        <v>1.0042801291201329</v>
      </c>
      <c r="J61" s="42">
        <f t="shared" si="37"/>
        <v>1.0042801291201329</v>
      </c>
      <c r="K61" s="42">
        <f t="shared" si="37"/>
        <v>1.0042801291201329</v>
      </c>
      <c r="L61" s="42">
        <f t="shared" si="37"/>
        <v>1.0042801291201329</v>
      </c>
      <c r="M61" s="42">
        <f t="shared" si="37"/>
        <v>1.0042801291201329</v>
      </c>
      <c r="N61" s="56">
        <f t="shared" si="37"/>
        <v>1.0042801291201329</v>
      </c>
    </row>
    <row r="62" spans="1:14" x14ac:dyDescent="0.25">
      <c r="A62" s="35"/>
      <c r="B62" s="53"/>
      <c r="C62" s="42">
        <f t="shared" ref="C62:N62" si="38">($C13-5)^4*(C22-0.1)^4</f>
        <v>1.8929003442475211E-10</v>
      </c>
      <c r="D62" s="42">
        <f t="shared" si="38"/>
        <v>5.6598790021013806E-9</v>
      </c>
      <c r="E62" s="42">
        <f t="shared" si="38"/>
        <v>6.3364168884500272E-10</v>
      </c>
      <c r="F62" s="42">
        <f t="shared" si="38"/>
        <v>3.4284829782163517E-12</v>
      </c>
      <c r="G62" s="42">
        <f t="shared" si="38"/>
        <v>2.7776008932444217E-11</v>
      </c>
      <c r="H62" s="42">
        <f t="shared" si="38"/>
        <v>1.25516276633157E-9</v>
      </c>
      <c r="I62" s="42">
        <f t="shared" si="38"/>
        <v>8.5240091299919415E-9</v>
      </c>
      <c r="J62" s="42">
        <f t="shared" si="38"/>
        <v>3.0622697769036554E-8</v>
      </c>
      <c r="K62" s="42">
        <f t="shared" si="38"/>
        <v>3.0962677349922331E-8</v>
      </c>
      <c r="L62" s="42">
        <f t="shared" si="38"/>
        <v>3.1305479997465587E-8</v>
      </c>
      <c r="M62" s="42">
        <f t="shared" si="38"/>
        <v>5.240105872551136E-8</v>
      </c>
      <c r="N62" s="56">
        <f t="shared" si="38"/>
        <v>2.7713953940128015E-6</v>
      </c>
    </row>
    <row r="63" spans="1:14" x14ac:dyDescent="0.25">
      <c r="A63" s="35"/>
      <c r="B63" s="53" t="s">
        <v>80</v>
      </c>
      <c r="C63" s="42">
        <f t="shared" ref="C63:N63" si="39">C60*C61+C62</f>
        <v>0.51775730542452714</v>
      </c>
      <c r="D63" s="42">
        <f t="shared" si="39"/>
        <v>0.48975240900756262</v>
      </c>
      <c r="E63" s="42">
        <f t="shared" si="39"/>
        <v>0.49569048175534608</v>
      </c>
      <c r="F63" s="42">
        <f t="shared" si="39"/>
        <v>0.50333462962893416</v>
      </c>
      <c r="G63" s="42">
        <f t="shared" si="39"/>
        <v>0.51316325968604193</v>
      </c>
      <c r="H63" s="42">
        <f t="shared" si="39"/>
        <v>0.52629284610333982</v>
      </c>
      <c r="I63" s="42">
        <f t="shared" si="39"/>
        <v>0.54488106231891509</v>
      </c>
      <c r="J63" s="42">
        <f t="shared" si="39"/>
        <v>0.57232972357328993</v>
      </c>
      <c r="K63" s="42">
        <f t="shared" si="39"/>
        <v>0.57267066104798847</v>
      </c>
      <c r="L63" s="42">
        <f t="shared" si="39"/>
        <v>0.57301309529583777</v>
      </c>
      <c r="M63" s="42">
        <f t="shared" si="39"/>
        <v>0.59221502350515109</v>
      </c>
      <c r="N63" s="56">
        <f t="shared" si="39"/>
        <v>2.4406539033828696</v>
      </c>
    </row>
    <row r="64" spans="1:14" x14ac:dyDescent="0.25">
      <c r="A64" s="35"/>
      <c r="B64" s="53" t="s">
        <v>81</v>
      </c>
      <c r="C64" s="42">
        <f t="shared" ref="C64:N64" si="40">0.16*($C5/$C6-2.5)</f>
        <v>0.11919286246002671</v>
      </c>
      <c r="D64" s="42">
        <f t="shared" si="40"/>
        <v>0.11919286246002671</v>
      </c>
      <c r="E64" s="42">
        <f t="shared" si="40"/>
        <v>0.11919286246002671</v>
      </c>
      <c r="F64" s="42">
        <f t="shared" si="40"/>
        <v>0.11919286246002671</v>
      </c>
      <c r="G64" s="42">
        <f t="shared" si="40"/>
        <v>0.11919286246002671</v>
      </c>
      <c r="H64" s="42">
        <f t="shared" si="40"/>
        <v>0.11919286246002671</v>
      </c>
      <c r="I64" s="42">
        <f t="shared" si="40"/>
        <v>0.11919286246002671</v>
      </c>
      <c r="J64" s="42">
        <f t="shared" si="40"/>
        <v>0.11919286246002671</v>
      </c>
      <c r="K64" s="42">
        <f t="shared" si="40"/>
        <v>0.11919286246002671</v>
      </c>
      <c r="L64" s="42">
        <f t="shared" si="40"/>
        <v>0.11919286246002671</v>
      </c>
      <c r="M64" s="42">
        <f t="shared" si="40"/>
        <v>0.11919286246002671</v>
      </c>
      <c r="N64" s="56">
        <f t="shared" si="40"/>
        <v>0.11919286246002671</v>
      </c>
    </row>
    <row r="65" spans="1:15" x14ac:dyDescent="0.25">
      <c r="A65" s="35"/>
      <c r="B65" s="53" t="s">
        <v>82</v>
      </c>
      <c r="C65" s="42">
        <f t="shared" ref="C65:N65" si="41">($C15-$C14)/3*0.1</f>
        <v>0</v>
      </c>
      <c r="D65" s="42">
        <f t="shared" si="41"/>
        <v>0</v>
      </c>
      <c r="E65" s="42">
        <f t="shared" si="41"/>
        <v>0</v>
      </c>
      <c r="F65" s="42">
        <f t="shared" si="41"/>
        <v>0</v>
      </c>
      <c r="G65" s="42">
        <f t="shared" si="41"/>
        <v>0</v>
      </c>
      <c r="H65" s="42">
        <f t="shared" si="41"/>
        <v>0</v>
      </c>
      <c r="I65" s="42">
        <f t="shared" si="41"/>
        <v>0</v>
      </c>
      <c r="J65" s="42">
        <f t="shared" si="41"/>
        <v>0</v>
      </c>
      <c r="K65" s="42">
        <f t="shared" si="41"/>
        <v>0</v>
      </c>
      <c r="L65" s="42">
        <f t="shared" si="41"/>
        <v>0</v>
      </c>
      <c r="M65" s="42">
        <f t="shared" si="41"/>
        <v>0</v>
      </c>
      <c r="N65" s="56">
        <f t="shared" si="41"/>
        <v>0</v>
      </c>
    </row>
    <row r="66" spans="1:15" x14ac:dyDescent="0.25">
      <c r="A66" s="35"/>
      <c r="B66" s="53" t="s">
        <v>83</v>
      </c>
      <c r="C66" s="53">
        <f>0.1*C5/C4+0.149</f>
        <v>0.16643404365847386</v>
      </c>
      <c r="D66" s="53" t="s">
        <v>84</v>
      </c>
      <c r="E66" s="53">
        <f>0.625*C5/C4+0.08</f>
        <v>0.18896277286546165</v>
      </c>
      <c r="F66" s="53"/>
      <c r="G66" s="53"/>
      <c r="H66" s="53"/>
      <c r="I66" s="53"/>
      <c r="J66" s="53"/>
      <c r="K66" s="53"/>
      <c r="L66" s="53"/>
      <c r="M66" s="53"/>
      <c r="N66" s="58"/>
    </row>
    <row r="67" spans="1:15" x14ac:dyDescent="0.25">
      <c r="A67" s="35"/>
      <c r="B67" s="53" t="s">
        <v>85</v>
      </c>
      <c r="C67" s="53">
        <f>0.05*C5/C4+0.449</f>
        <v>0.45771702182923696</v>
      </c>
      <c r="D67" s="53" t="s">
        <v>86</v>
      </c>
      <c r="E67" s="53">
        <f>0.165-0.25*C5/C4</f>
        <v>0.12141489085381535</v>
      </c>
      <c r="F67" s="53"/>
      <c r="G67" s="53"/>
      <c r="H67" s="53"/>
      <c r="I67" s="53"/>
      <c r="J67" s="53"/>
      <c r="K67" s="53"/>
      <c r="L67" s="53"/>
      <c r="M67" s="53"/>
      <c r="N67" s="58"/>
    </row>
    <row r="68" spans="1:15" x14ac:dyDescent="0.25">
      <c r="A68" s="35"/>
      <c r="B68" s="53" t="s">
        <v>87</v>
      </c>
      <c r="C68" s="53">
        <f>585-5027*C5/C4+11700*(C5/C4)^2</f>
        <v>64.207302882638999</v>
      </c>
      <c r="D68" s="53" t="s">
        <v>88</v>
      </c>
      <c r="E68" s="53">
        <f>825-8060*C5/C4+20300*(C5/C4)^2</f>
        <v>36.826214046719201</v>
      </c>
      <c r="F68" s="53"/>
      <c r="G68" s="53"/>
      <c r="H68" s="53"/>
      <c r="I68" s="53"/>
      <c r="J68" s="53"/>
      <c r="K68" s="53"/>
      <c r="L68" s="53"/>
      <c r="M68" s="53"/>
      <c r="N68" s="58"/>
    </row>
    <row r="69" spans="1:15" x14ac:dyDescent="0.25">
      <c r="A69" s="35"/>
      <c r="B69" s="53" t="s">
        <v>89</v>
      </c>
      <c r="C69" s="42">
        <f>C66+C67/(C68*(0.98-C11)^3+1)</f>
        <v>0.44689240751873677</v>
      </c>
      <c r="D69" s="42" t="s">
        <v>90</v>
      </c>
      <c r="E69" s="42">
        <f>E66+E67/(E68*(0.98-C11)^3+1)</f>
        <v>0.27807441760259505</v>
      </c>
      <c r="F69" s="42"/>
      <c r="G69" s="42"/>
      <c r="H69" s="53"/>
      <c r="I69" s="53"/>
      <c r="J69" s="53"/>
      <c r="K69" s="53"/>
      <c r="L69" s="53"/>
      <c r="M69" s="53"/>
      <c r="N69" s="58"/>
    </row>
    <row r="70" spans="1:15" x14ac:dyDescent="0.25">
      <c r="A70" s="35"/>
      <c r="B70" s="53" t="s">
        <v>91</v>
      </c>
      <c r="C70" s="42">
        <f>0.025*C15/(100*(C11-0.7)^2+1)</f>
        <v>0</v>
      </c>
      <c r="D70" s="42" t="s">
        <v>92</v>
      </c>
      <c r="E70" s="42">
        <f>-0.01*C15</f>
        <v>0</v>
      </c>
      <c r="F70" s="42"/>
      <c r="G70" s="42"/>
      <c r="H70" s="53"/>
      <c r="I70" s="53"/>
      <c r="J70" s="53"/>
      <c r="K70" s="53"/>
      <c r="L70" s="53"/>
      <c r="M70" s="53"/>
      <c r="N70" s="58"/>
    </row>
    <row r="71" spans="1:15" x14ac:dyDescent="0.25">
      <c r="A71" s="35"/>
      <c r="B71" s="53" t="s">
        <v>93</v>
      </c>
      <c r="C71" s="42">
        <f>0.00756/(C18/C4+0.002)-0.18</f>
        <v>-1.6686165081056942E-2</v>
      </c>
      <c r="D71" s="42" t="s">
        <v>94</v>
      </c>
      <c r="E71" s="42">
        <f>2*(C18/C4-0.04)</f>
        <v>8.5824808872099062E-3</v>
      </c>
      <c r="F71" s="42"/>
      <c r="G71" s="42"/>
      <c r="H71" s="53"/>
      <c r="I71" s="53"/>
      <c r="J71" s="53"/>
      <c r="K71" s="53"/>
      <c r="L71" s="53"/>
      <c r="M71" s="53"/>
      <c r="N71" s="58"/>
    </row>
    <row r="72" spans="1:15" x14ac:dyDescent="0.25">
      <c r="A72" s="35"/>
      <c r="B72" s="53" t="s">
        <v>93</v>
      </c>
      <c r="C72" s="42">
        <f>MIN(0.1,C71)</f>
        <v>-1.6686165081056942E-2</v>
      </c>
      <c r="D72" s="42"/>
      <c r="E72" s="42"/>
      <c r="F72" s="42"/>
      <c r="G72" s="42"/>
      <c r="H72" s="53"/>
      <c r="I72" s="53"/>
      <c r="J72" s="53"/>
      <c r="K72" s="53"/>
      <c r="L72" s="53"/>
      <c r="M72" s="53"/>
      <c r="N72" s="58"/>
    </row>
    <row r="73" spans="1:15" x14ac:dyDescent="0.25">
      <c r="A73" s="35"/>
      <c r="B73" s="53" t="s">
        <v>95</v>
      </c>
      <c r="C73" s="76">
        <f>C69+C70+C72</f>
        <v>0.4302062424376798</v>
      </c>
      <c r="D73" s="42" t="s">
        <v>96</v>
      </c>
      <c r="E73" s="76">
        <f>E69+E70+E71</f>
        <v>0.28665689848980497</v>
      </c>
      <c r="F73" s="42" t="s">
        <v>97</v>
      </c>
      <c r="G73" s="76">
        <f>0.7*C11-0.2</f>
        <v>0.3359798537299114</v>
      </c>
      <c r="H73" s="53"/>
      <c r="I73" s="53"/>
      <c r="J73" s="53"/>
      <c r="K73" s="53"/>
      <c r="L73" s="53"/>
      <c r="M73" s="53"/>
      <c r="N73" s="58"/>
    </row>
    <row r="74" spans="1:15" x14ac:dyDescent="0.25">
      <c r="A74" s="35"/>
      <c r="B74" s="53" t="s">
        <v>98</v>
      </c>
      <c r="C74" s="76">
        <f>1.133*C11^2-0.797*C11+0.215</f>
        <v>0.2689974263016256</v>
      </c>
      <c r="D74" s="42" t="s">
        <v>99</v>
      </c>
      <c r="E74" s="76">
        <f>0.0665+0.62833*C74</f>
        <v>0.23551915286810043</v>
      </c>
      <c r="F74" s="42" t="s">
        <v>100</v>
      </c>
      <c r="G74" s="76">
        <f>0.2*C11+0.06</f>
        <v>0.21313710106568901</v>
      </c>
      <c r="H74" s="53"/>
      <c r="I74" s="53"/>
      <c r="J74" s="53"/>
      <c r="K74" s="53"/>
      <c r="L74" s="53"/>
      <c r="M74" s="53"/>
      <c r="N74" s="58"/>
    </row>
    <row r="75" spans="1:15" x14ac:dyDescent="0.25">
      <c r="A75" s="22" t="s">
        <v>101</v>
      </c>
      <c r="B75" s="53" t="s">
        <v>102</v>
      </c>
      <c r="C75" s="53">
        <f t="shared" ref="C75:N75" si="42">IF(C22&gt;$J9,0,IF($C17=1,0.2,0.1))</f>
        <v>0.2</v>
      </c>
      <c r="D75" s="53">
        <f t="shared" si="42"/>
        <v>0.2</v>
      </c>
      <c r="E75" s="53">
        <f t="shared" si="42"/>
        <v>0.2</v>
      </c>
      <c r="F75" s="53">
        <f t="shared" si="42"/>
        <v>0.2</v>
      </c>
      <c r="G75" s="53">
        <f t="shared" si="42"/>
        <v>0.2</v>
      </c>
      <c r="H75" s="53">
        <f t="shared" si="42"/>
        <v>0.2</v>
      </c>
      <c r="I75" s="53">
        <f t="shared" si="42"/>
        <v>0.2</v>
      </c>
      <c r="J75" s="53">
        <f t="shared" si="42"/>
        <v>0.2</v>
      </c>
      <c r="K75" s="53">
        <f t="shared" si="42"/>
        <v>0.2</v>
      </c>
      <c r="L75" s="53">
        <f t="shared" si="42"/>
        <v>0.2</v>
      </c>
      <c r="M75" s="53">
        <f t="shared" si="42"/>
        <v>0.2</v>
      </c>
      <c r="N75" s="53">
        <f t="shared" si="42"/>
        <v>0.2</v>
      </c>
    </row>
    <row r="76" spans="1:15" x14ac:dyDescent="0.25">
      <c r="A76" s="22"/>
      <c r="B76" s="59" t="s">
        <v>123</v>
      </c>
      <c r="C76" s="552">
        <f>C22</f>
        <v>0.12</v>
      </c>
      <c r="D76" s="552">
        <f>IF(D22&lt;0.12,0.12,D22)</f>
        <v>0.12</v>
      </c>
      <c r="E76" s="552">
        <f t="shared" ref="E76:M76" si="43">IF(E22&lt;0.12,0.12,E22)</f>
        <v>0.12</v>
      </c>
      <c r="F76" s="552">
        <f t="shared" si="43"/>
        <v>0.12</v>
      </c>
      <c r="G76" s="552">
        <f t="shared" si="43"/>
        <v>0.12</v>
      </c>
      <c r="H76" s="552">
        <f t="shared" si="43"/>
        <v>0.13209394248817394</v>
      </c>
      <c r="I76" s="552">
        <f t="shared" si="43"/>
        <v>0.15180945629237902</v>
      </c>
      <c r="J76" s="552">
        <f t="shared" si="43"/>
        <v>0.17132781495854202</v>
      </c>
      <c r="K76" s="552">
        <f t="shared" si="43"/>
        <v>0.17152497009658407</v>
      </c>
      <c r="L76" s="552">
        <f t="shared" si="43"/>
        <v>0.17172212523462613</v>
      </c>
      <c r="M76" s="552">
        <f t="shared" si="43"/>
        <v>0.18157988213672865</v>
      </c>
      <c r="N76" s="67">
        <f>N22</f>
        <v>0.32</v>
      </c>
      <c r="O76" s="551" t="s">
        <v>483</v>
      </c>
    </row>
    <row r="77" spans="1:15" x14ac:dyDescent="0.25">
      <c r="A77" s="22"/>
      <c r="B77" s="59" t="s">
        <v>103</v>
      </c>
      <c r="C77" s="553">
        <f>C22^2</f>
        <v>1.44E-2</v>
      </c>
      <c r="D77" s="553">
        <f>D76^2</f>
        <v>1.44E-2</v>
      </c>
      <c r="E77" s="553">
        <f t="shared" ref="E77:M77" si="44">E76^2</f>
        <v>1.44E-2</v>
      </c>
      <c r="F77" s="553">
        <f t="shared" si="44"/>
        <v>1.44E-2</v>
      </c>
      <c r="G77" s="553">
        <f t="shared" si="44"/>
        <v>1.44E-2</v>
      </c>
      <c r="H77" s="553">
        <f t="shared" si="44"/>
        <v>1.7448809642069005E-2</v>
      </c>
      <c r="I77" s="553">
        <f t="shared" si="44"/>
        <v>2.3046111019787735E-2</v>
      </c>
      <c r="J77" s="553">
        <f t="shared" si="44"/>
        <v>2.9353220178468413E-2</v>
      </c>
      <c r="K77" s="553">
        <f t="shared" si="44"/>
        <v>2.9420815366634059E-2</v>
      </c>
      <c r="L77" s="553">
        <f t="shared" si="44"/>
        <v>2.9488488295096621E-2</v>
      </c>
      <c r="M77" s="553">
        <f t="shared" si="44"/>
        <v>3.2971253596788271E-2</v>
      </c>
      <c r="N77" s="49">
        <f>N22^2</f>
        <v>0.1024</v>
      </c>
    </row>
    <row r="78" spans="1:15" x14ac:dyDescent="0.25">
      <c r="A78" s="22"/>
      <c r="B78" s="59" t="s">
        <v>104</v>
      </c>
      <c r="C78" s="553">
        <f>C22^3</f>
        <v>1.7279999999999999E-3</v>
      </c>
      <c r="D78" s="553">
        <f>D76^3</f>
        <v>1.7279999999999999E-3</v>
      </c>
      <c r="E78" s="553">
        <f t="shared" ref="E78:M78" si="45">E76^3</f>
        <v>1.7279999999999999E-3</v>
      </c>
      <c r="F78" s="553">
        <f t="shared" si="45"/>
        <v>1.7279999999999999E-3</v>
      </c>
      <c r="G78" s="553">
        <f t="shared" si="45"/>
        <v>1.7279999999999999E-3</v>
      </c>
      <c r="H78" s="553">
        <f t="shared" si="45"/>
        <v>2.3048820573465579E-3</v>
      </c>
      <c r="I78" s="553">
        <f t="shared" si="45"/>
        <v>3.4986175835677808E-3</v>
      </c>
      <c r="J78" s="553">
        <f t="shared" si="45"/>
        <v>5.0290230751739778E-3</v>
      </c>
      <c r="K78" s="553">
        <f t="shared" si="45"/>
        <v>5.0464044759790279E-3</v>
      </c>
      <c r="L78" s="553">
        <f t="shared" si="45"/>
        <v>5.0638258799903888E-3</v>
      </c>
      <c r="M78" s="553">
        <f t="shared" si="45"/>
        <v>5.9869163420050052E-3</v>
      </c>
      <c r="N78" s="49">
        <f>N22^3</f>
        <v>3.2768000000000005E-2</v>
      </c>
    </row>
    <row r="79" spans="1:15" x14ac:dyDescent="0.25">
      <c r="A79" s="22"/>
      <c r="B79" s="59" t="s">
        <v>105</v>
      </c>
      <c r="C79" s="553">
        <f>C22^4</f>
        <v>2.0735999999999999E-4</v>
      </c>
      <c r="D79" s="554">
        <f>D76^4</f>
        <v>2.0735999999999999E-4</v>
      </c>
      <c r="E79" s="554">
        <f t="shared" ref="E79:M79" si="46">E76^4</f>
        <v>2.0735999999999999E-4</v>
      </c>
      <c r="F79" s="554">
        <f t="shared" si="46"/>
        <v>2.0735999999999999E-4</v>
      </c>
      <c r="G79" s="554">
        <f t="shared" si="46"/>
        <v>2.0735999999999999E-4</v>
      </c>
      <c r="H79" s="554">
        <f t="shared" si="46"/>
        <v>3.0446095792516025E-4</v>
      </c>
      <c r="I79" s="554">
        <f t="shared" si="46"/>
        <v>5.3112323313638172E-4</v>
      </c>
      <c r="J79" s="554">
        <f t="shared" si="46"/>
        <v>8.6161153484564518E-4</v>
      </c>
      <c r="K79" s="554">
        <f t="shared" si="46"/>
        <v>8.6558437683757078E-4</v>
      </c>
      <c r="L79" s="554">
        <f t="shared" si="46"/>
        <v>8.6957094193005041E-4</v>
      </c>
      <c r="M79" s="554">
        <f t="shared" si="46"/>
        <v>1.0871035637437234E-3</v>
      </c>
      <c r="N79" s="49">
        <f>N22^4</f>
        <v>1.048576E-2</v>
      </c>
    </row>
    <row r="80" spans="1:15" x14ac:dyDescent="0.25">
      <c r="A80" s="22"/>
      <c r="B80" s="59" t="s">
        <v>106</v>
      </c>
      <c r="C80" s="553">
        <f>C22^5</f>
        <v>2.4883199999999999E-5</v>
      </c>
      <c r="D80" s="554">
        <f>D76^5</f>
        <v>2.4883199999999999E-5</v>
      </c>
      <c r="E80" s="554">
        <f t="shared" ref="E80:M80" si="47">E76^5</f>
        <v>2.4883199999999999E-5</v>
      </c>
      <c r="F80" s="554">
        <f t="shared" si="47"/>
        <v>2.4883199999999999E-5</v>
      </c>
      <c r="G80" s="554">
        <f t="shared" si="47"/>
        <v>2.4883199999999999E-5</v>
      </c>
      <c r="H80" s="554">
        <f t="shared" si="47"/>
        <v>4.0217448266060466E-5</v>
      </c>
      <c r="I80" s="554">
        <f t="shared" si="47"/>
        <v>8.0629529246684567E-5</v>
      </c>
      <c r="J80" s="554">
        <f t="shared" si="47"/>
        <v>1.4761802160818008E-4</v>
      </c>
      <c r="K80" s="554">
        <f t="shared" si="47"/>
        <v>1.4846933435313467E-4</v>
      </c>
      <c r="L80" s="554">
        <f t="shared" si="47"/>
        <v>1.4932457019050391E-4</v>
      </c>
      <c r="M80" s="554">
        <f t="shared" si="47"/>
        <v>1.9739613697500297E-4</v>
      </c>
      <c r="N80" s="49">
        <f>N22^5</f>
        <v>3.3554432000000001E-3</v>
      </c>
    </row>
    <row r="81" spans="1:14" x14ac:dyDescent="0.25">
      <c r="A81" s="176"/>
      <c r="B81" s="182" t="s">
        <v>258</v>
      </c>
      <c r="C81" s="553">
        <f>C22^6</f>
        <v>2.9859839999999999E-6</v>
      </c>
      <c r="D81" s="554">
        <f>D76^6</f>
        <v>2.9859839999999999E-6</v>
      </c>
      <c r="E81" s="554">
        <f t="shared" ref="E81:M81" si="48">E76^6</f>
        <v>2.9859839999999999E-6</v>
      </c>
      <c r="F81" s="554">
        <f t="shared" si="48"/>
        <v>2.9859839999999999E-6</v>
      </c>
      <c r="G81" s="554">
        <f t="shared" si="48"/>
        <v>2.9859839999999999E-6</v>
      </c>
      <c r="H81" s="554">
        <f t="shared" si="48"/>
        <v>5.3124812982781013E-6</v>
      </c>
      <c r="I81" s="554">
        <f t="shared" si="48"/>
        <v>1.2240324996049657E-5</v>
      </c>
      <c r="J81" s="554">
        <f t="shared" si="48"/>
        <v>2.5291073090632331E-5</v>
      </c>
      <c r="K81" s="554">
        <f t="shared" si="48"/>
        <v>2.5466198135181168E-5</v>
      </c>
      <c r="L81" s="554">
        <f t="shared" si="48"/>
        <v>2.5642332542860435E-5</v>
      </c>
      <c r="M81" s="554">
        <f t="shared" si="48"/>
        <v>3.584316728616659E-5</v>
      </c>
      <c r="N81" s="183">
        <f>N22^6</f>
        <v>1.073741824E-3</v>
      </c>
    </row>
    <row r="82" spans="1:14" x14ac:dyDescent="0.25">
      <c r="A82" s="75" t="s">
        <v>228</v>
      </c>
      <c r="B82" s="73" t="s">
        <v>210</v>
      </c>
      <c r="C82" s="77">
        <f xml:space="preserve"> 81963.95967*C80 - 69372.12684*C79 + 23700.28578*C78 - 4016.65661*C77 + 339.10948*C76 - 10.91</f>
        <v>0.55189762355814054</v>
      </c>
      <c r="D82" s="77">
        <f xml:space="preserve"> 81963.95967*D80 - 69372.12684*D79 + 23700.28578*D78 - 4016.65661*D77 + 339.10948*D76 - 10.91</f>
        <v>0.55189762355814054</v>
      </c>
      <c r="E82" s="77">
        <f t="shared" ref="E82:N82" si="49" xml:space="preserve"> 81963.95967*E80 - 69372.12684*E79 + 23700.28578*E78 - 4016.65661*E77 + 339.10948*E76 - 10.91</f>
        <v>0.55189762355814054</v>
      </c>
      <c r="F82" s="77">
        <f t="shared" si="49"/>
        <v>0.55189762355814054</v>
      </c>
      <c r="G82" s="77">
        <f t="shared" si="49"/>
        <v>0.55189762355814054</v>
      </c>
      <c r="H82" s="77">
        <f t="shared" si="49"/>
        <v>0.60007212787170161</v>
      </c>
      <c r="I82" s="77">
        <f t="shared" si="49"/>
        <v>0.68351537203495027</v>
      </c>
      <c r="J82" s="77">
        <f t="shared" si="49"/>
        <v>0.8038973488734662</v>
      </c>
      <c r="K82" s="77">
        <f t="shared" si="49"/>
        <v>0.80536449711577163</v>
      </c>
      <c r="L82" s="77">
        <f t="shared" si="49"/>
        <v>0.80683702821849224</v>
      </c>
      <c r="M82" s="77">
        <f t="shared" si="49"/>
        <v>0.88756665457964701</v>
      </c>
      <c r="N82" s="77">
        <f t="shared" si="49"/>
        <v>10.516299561017544</v>
      </c>
    </row>
    <row r="83" spans="1:14" x14ac:dyDescent="0.25">
      <c r="A83" s="75" t="s">
        <v>229</v>
      </c>
      <c r="B83" s="73" t="s">
        <v>107</v>
      </c>
      <c r="C83" s="77">
        <f t="shared" ref="C83:N83" si="50" xml:space="preserve"> 211855.99746*C80 - 178462.85551*C79 + 59866.35075*C78 - 9901.7271*C77 + 808.21686*C76 - 25.47</f>
        <v>0.64580449344308022</v>
      </c>
      <c r="D83" s="77">
        <f t="shared" si="50"/>
        <v>0.64580449344308022</v>
      </c>
      <c r="E83" s="77">
        <f t="shared" si="50"/>
        <v>0.64580449344308022</v>
      </c>
      <c r="F83" s="77">
        <f t="shared" si="50"/>
        <v>0.64580449344308022</v>
      </c>
      <c r="G83" s="77">
        <f t="shared" si="50"/>
        <v>0.64580449344308022</v>
      </c>
      <c r="H83" s="77">
        <f t="shared" si="50"/>
        <v>0.68741348475533925</v>
      </c>
      <c r="I83" s="77">
        <f t="shared" si="50"/>
        <v>0.77420797674361097</v>
      </c>
      <c r="J83" s="77">
        <f t="shared" si="50"/>
        <v>0.92982063322040176</v>
      </c>
      <c r="K83" s="77">
        <f t="shared" si="50"/>
        <v>0.93176765481737789</v>
      </c>
      <c r="L83" s="77">
        <f t="shared" si="50"/>
        <v>0.93372182613512678</v>
      </c>
      <c r="M83" s="77">
        <f t="shared" si="50"/>
        <v>1.0403498335924724</v>
      </c>
      <c r="N83" s="77">
        <f t="shared" si="50"/>
        <v>20.475215799836889</v>
      </c>
    </row>
    <row r="84" spans="1:14" x14ac:dyDescent="0.25">
      <c r="A84" s="75" t="s">
        <v>230</v>
      </c>
      <c r="B84" s="73" t="s">
        <v>108</v>
      </c>
      <c r="C84" s="77">
        <f t="shared" ref="C84:N84" si="51" xml:space="preserve"> 189330.79305*C80 - 133987.07846*C79 + 36767.07838*C78 - 4746.53331*C77 + 281.6148*C76 - 5.18</f>
        <v>0.72480317679617201</v>
      </c>
      <c r="D84" s="77">
        <f t="shared" si="51"/>
        <v>0.72480317679617201</v>
      </c>
      <c r="E84" s="77">
        <f t="shared" si="51"/>
        <v>0.72480317679617201</v>
      </c>
      <c r="F84" s="77">
        <f t="shared" si="51"/>
        <v>0.72480317679617201</v>
      </c>
      <c r="G84" s="77">
        <f t="shared" si="51"/>
        <v>0.72480317679617201</v>
      </c>
      <c r="H84" s="77">
        <f t="shared" si="51"/>
        <v>0.76259938534082039</v>
      </c>
      <c r="I84" s="77">
        <f t="shared" si="51"/>
        <v>0.91860537253901953</v>
      </c>
      <c r="J84" s="77">
        <f t="shared" si="51"/>
        <v>1.1487213690169256</v>
      </c>
      <c r="K84" s="77">
        <f t="shared" si="51"/>
        <v>1.1513339127696156</v>
      </c>
      <c r="L84" s="77">
        <f t="shared" si="51"/>
        <v>1.1539523046827895</v>
      </c>
      <c r="M84" s="77">
        <f t="shared" si="51"/>
        <v>1.2931877923543453</v>
      </c>
      <c r="N84" s="77">
        <f t="shared" si="51"/>
        <v>34.007723669340471</v>
      </c>
    </row>
    <row r="85" spans="1:14" x14ac:dyDescent="0.25">
      <c r="A85" s="75" t="s">
        <v>231</v>
      </c>
      <c r="B85" s="73" t="s">
        <v>109</v>
      </c>
      <c r="C85" s="77">
        <f t="shared" ref="C85:N85" si="52" xml:space="preserve"> -183277.76453*C80 + 217604.57034*C79 - 91711.5592*C78 + 18157.61937*C77 - 1715.03079*C76 + 63.08</f>
        <v>0.83039626574954184</v>
      </c>
      <c r="D85" s="77">
        <f t="shared" si="52"/>
        <v>0.83039626574954184</v>
      </c>
      <c r="E85" s="77">
        <f t="shared" si="52"/>
        <v>0.83039626574954184</v>
      </c>
      <c r="F85" s="77">
        <f t="shared" si="52"/>
        <v>0.83039626574954184</v>
      </c>
      <c r="G85" s="77">
        <f t="shared" si="52"/>
        <v>0.83039626574954184</v>
      </c>
      <c r="H85" s="77">
        <f t="shared" si="52"/>
        <v>0.860470070515575</v>
      </c>
      <c r="I85" s="77">
        <f t="shared" si="52"/>
        <v>1.1181895367369208</v>
      </c>
      <c r="J85" s="77">
        <f t="shared" si="52"/>
        <v>1.4480808055124754</v>
      </c>
      <c r="K85" s="77">
        <f t="shared" si="52"/>
        <v>1.451727880278284</v>
      </c>
      <c r="L85" s="77">
        <f t="shared" si="52"/>
        <v>1.455384971133256</v>
      </c>
      <c r="M85" s="77">
        <f t="shared" si="52"/>
        <v>1.655332919824346</v>
      </c>
      <c r="N85" s="77">
        <f t="shared" si="52"/>
        <v>35.17716960736864</v>
      </c>
    </row>
    <row r="86" spans="1:14" x14ac:dyDescent="0.25">
      <c r="A86" s="75" t="s">
        <v>232</v>
      </c>
      <c r="B86" s="73" t="s">
        <v>211</v>
      </c>
      <c r="C86" s="77">
        <f xml:space="preserve"> 108656.82305*C80 - 92884.66951*C79 + 31771.52118*C78 - 5373.60627*C77 + 450.34486*C76 - 14.5</f>
        <v>0.50580590076415888</v>
      </c>
      <c r="D86" s="77">
        <f xml:space="preserve"> 108656.82305*D80 - 92884.66951*D79 + 31771.52118*D78 - 5373.60627*D77 + 450.34486*D76 - 14.5</f>
        <v>0.50580590076415888</v>
      </c>
      <c r="E86" s="77">
        <f t="shared" ref="E86:N86" si="53" xml:space="preserve"> 108656.82305*E80 - 92884.66951*E79 + 31771.52118*E78 - 5373.60627*E77 + 450.34486*E76 - 14.5</f>
        <v>0.50580590076415888</v>
      </c>
      <c r="F86" s="77">
        <f t="shared" si="53"/>
        <v>0.50580590076415888</v>
      </c>
      <c r="G86" s="77">
        <f t="shared" si="53"/>
        <v>0.50580590076415888</v>
      </c>
      <c r="H86" s="77">
        <f t="shared" si="53"/>
        <v>0.54454894660575093</v>
      </c>
      <c r="I86" s="77">
        <f t="shared" si="53"/>
        <v>0.6100268356705385</v>
      </c>
      <c r="J86" s="77">
        <f t="shared" si="53"/>
        <v>0.71286858623037119</v>
      </c>
      <c r="K86" s="77">
        <f t="shared" si="53"/>
        <v>0.71414482899045595</v>
      </c>
      <c r="L86" s="77">
        <f t="shared" si="53"/>
        <v>0.71542589381884625</v>
      </c>
      <c r="M86" s="77">
        <f t="shared" si="53"/>
        <v>0.78565278968768837</v>
      </c>
      <c r="N86" s="77">
        <f t="shared" si="53"/>
        <v>11.067725053788109</v>
      </c>
    </row>
    <row r="87" spans="1:14" x14ac:dyDescent="0.25">
      <c r="A87" s="75" t="s">
        <v>233</v>
      </c>
      <c r="B87" s="73" t="s">
        <v>110</v>
      </c>
      <c r="C87" s="77">
        <f t="shared" ref="C87:N87" si="54" xml:space="preserve"> 236068.11145*C80 - 206198.08468*C79 + 71647.62804*C78 - 12274.26804*C77 + 1036.91016*C76 - 34.06</f>
        <v>0.54375586870779102</v>
      </c>
      <c r="D87" s="77">
        <f t="shared" si="54"/>
        <v>0.54375586870779102</v>
      </c>
      <c r="E87" s="77">
        <f t="shared" si="54"/>
        <v>0.54375586870779102</v>
      </c>
      <c r="F87" s="77">
        <f t="shared" si="54"/>
        <v>0.54375586870779102</v>
      </c>
      <c r="G87" s="77">
        <f t="shared" si="54"/>
        <v>0.54375586870779102</v>
      </c>
      <c r="H87" s="77">
        <f t="shared" si="54"/>
        <v>0.59230751108879076</v>
      </c>
      <c r="I87" s="77">
        <f t="shared" si="54"/>
        <v>0.66374225343560056</v>
      </c>
      <c r="J87" s="77">
        <f t="shared" si="54"/>
        <v>0.80509376175757552</v>
      </c>
      <c r="K87" s="77">
        <f t="shared" si="54"/>
        <v>0.80695599190798362</v>
      </c>
      <c r="L87" s="77">
        <f t="shared" si="54"/>
        <v>0.80882659162995196</v>
      </c>
      <c r="M87" s="77">
        <f t="shared" si="54"/>
        <v>0.91263612641145642</v>
      </c>
      <c r="N87" s="77">
        <f t="shared" si="54"/>
        <v>18.585190406308016</v>
      </c>
    </row>
    <row r="88" spans="1:14" x14ac:dyDescent="0.25">
      <c r="A88" s="75" t="s">
        <v>234</v>
      </c>
      <c r="B88" s="73" t="s">
        <v>111</v>
      </c>
      <c r="C88" s="77">
        <f t="shared" ref="C88:N88" si="55" xml:space="preserve"> 153905.69184*C80 - 114943.493048*C79 + 33802.921153*C78 - 4780.049092*C77 + 322.837994*C76 - 7.67</f>
        <v>0.64428350034379811</v>
      </c>
      <c r="D88" s="77">
        <f t="shared" si="55"/>
        <v>0.64428350034379811</v>
      </c>
      <c r="E88" s="77">
        <f t="shared" si="55"/>
        <v>0.64428350034379811</v>
      </c>
      <c r="F88" s="77">
        <f t="shared" si="55"/>
        <v>0.64428350034379811</v>
      </c>
      <c r="G88" s="77">
        <f t="shared" si="55"/>
        <v>0.64428350034379811</v>
      </c>
      <c r="H88" s="77">
        <f t="shared" si="55"/>
        <v>0.67441137660013517</v>
      </c>
      <c r="I88" s="77">
        <f t="shared" si="55"/>
        <v>0.80199643303738277</v>
      </c>
      <c r="J88" s="77">
        <f t="shared" si="55"/>
        <v>1.0095794010304733</v>
      </c>
      <c r="K88" s="77">
        <f t="shared" si="55"/>
        <v>1.0120319145345196</v>
      </c>
      <c r="L88" s="77">
        <f t="shared" si="55"/>
        <v>1.0144914559707932</v>
      </c>
      <c r="M88" s="77">
        <f t="shared" si="55"/>
        <v>1.1468432467993512</v>
      </c>
      <c r="N88" s="77">
        <f t="shared" si="55"/>
        <v>24.967176863531179</v>
      </c>
    </row>
    <row r="89" spans="1:14" x14ac:dyDescent="0.25">
      <c r="A89" s="75" t="s">
        <v>235</v>
      </c>
      <c r="B89" s="73" t="s">
        <v>112</v>
      </c>
      <c r="C89" s="77">
        <f t="shared" ref="C89:N89" si="56">-9980220.15991*C81 + 10826099.46985*C80 - 4792166.95182*C79 + 1110018.19846*C78 - 141933.11234*C77 + 9505.46225*C76 - 260.06</f>
        <v>0.75358072768784723</v>
      </c>
      <c r="D89" s="77">
        <f t="shared" si="56"/>
        <v>0.75358072768784723</v>
      </c>
      <c r="E89" s="77">
        <f t="shared" si="56"/>
        <v>0.75358072768784723</v>
      </c>
      <c r="F89" s="77">
        <f t="shared" si="56"/>
        <v>0.75358072768784723</v>
      </c>
      <c r="G89" s="77">
        <f t="shared" si="56"/>
        <v>0.75358072768784723</v>
      </c>
      <c r="H89" s="77">
        <f t="shared" si="56"/>
        <v>0.80177531784300982</v>
      </c>
      <c r="I89" s="77">
        <f t="shared" si="56"/>
        <v>0.99293918338042886</v>
      </c>
      <c r="J89" s="77">
        <f t="shared" si="56"/>
        <v>1.3338996040142206</v>
      </c>
      <c r="K89" s="77">
        <f t="shared" si="56"/>
        <v>1.3377139570501981</v>
      </c>
      <c r="L89" s="77">
        <f t="shared" si="56"/>
        <v>1.3415334082887398</v>
      </c>
      <c r="M89" s="77">
        <f t="shared" si="56"/>
        <v>1.5399082823482217</v>
      </c>
      <c r="N89" s="77">
        <f t="shared" si="56"/>
        <v>-18.516942986341803</v>
      </c>
    </row>
    <row r="90" spans="1:14" x14ac:dyDescent="0.25">
      <c r="A90" s="75" t="s">
        <v>236</v>
      </c>
      <c r="B90" s="73" t="s">
        <v>212</v>
      </c>
      <c r="C90" s="77">
        <f xml:space="preserve"> 12205.28697*C80 - 8294.72385*C79 + 2539.32664*C78 - 405.17899*C77 + 34.1222*C76 - 0.78</f>
        <v>0.45175563711590416</v>
      </c>
      <c r="D90" s="77">
        <f t="shared" ref="D90:N90" si="57" xml:space="preserve"> 12205.28697*D80 - 8294.72385*D79 + 2539.32664*D78 - 405.17899*D77 + 34.1222*D76 - 0.78</f>
        <v>0.45175563711590416</v>
      </c>
      <c r="E90" s="77">
        <f t="shared" si="57"/>
        <v>0.45175563711590416</v>
      </c>
      <c r="F90" s="77">
        <f t="shared" si="57"/>
        <v>0.45175563711590416</v>
      </c>
      <c r="G90" s="77">
        <f t="shared" si="57"/>
        <v>0.45175563711590416</v>
      </c>
      <c r="H90" s="77">
        <f t="shared" si="57"/>
        <v>0.47573919536503362</v>
      </c>
      <c r="I90" s="77">
        <f t="shared" si="57"/>
        <v>0.52499146972678123</v>
      </c>
      <c r="J90" s="77">
        <f t="shared" si="57"/>
        <v>0.59799669853513504</v>
      </c>
      <c r="K90" s="77">
        <f t="shared" si="57"/>
        <v>0.59890985875208025</v>
      </c>
      <c r="L90" s="77">
        <f t="shared" si="57"/>
        <v>0.59982715458078162</v>
      </c>
      <c r="M90" s="77">
        <f t="shared" si="57"/>
        <v>0.65143462251428486</v>
      </c>
      <c r="N90" s="77">
        <f t="shared" si="57"/>
        <v>5.8350943736791239</v>
      </c>
    </row>
    <row r="91" spans="1:14" x14ac:dyDescent="0.25">
      <c r="A91" s="75" t="s">
        <v>237</v>
      </c>
      <c r="B91" s="73" t="s">
        <v>113</v>
      </c>
      <c r="C91" s="77">
        <f t="shared" ref="C91:N91" si="58" xml:space="preserve"> 78193.22061*C80 - 62747.6239*C79 + 20041.29771*C78 - 3113.11297*C77 + 235.21739*C76 - 6.47</f>
        <v>0.49297273005874853</v>
      </c>
      <c r="D91" s="77">
        <f t="shared" si="58"/>
        <v>0.49297273005874853</v>
      </c>
      <c r="E91" s="77">
        <f t="shared" si="58"/>
        <v>0.49297273005874853</v>
      </c>
      <c r="F91" s="77">
        <f t="shared" si="58"/>
        <v>0.49297273005874853</v>
      </c>
      <c r="G91" s="77">
        <f t="shared" si="58"/>
        <v>0.49297273005874853</v>
      </c>
      <c r="H91" s="77">
        <f t="shared" si="58"/>
        <v>0.5140344013296021</v>
      </c>
      <c r="I91" s="77">
        <f t="shared" si="58"/>
        <v>0.58787521904679263</v>
      </c>
      <c r="J91" s="77">
        <f t="shared" si="58"/>
        <v>0.71619165334074975</v>
      </c>
      <c r="K91" s="77">
        <f t="shared" si="58"/>
        <v>0.71776083164974036</v>
      </c>
      <c r="L91" s="77">
        <f t="shared" si="58"/>
        <v>0.71933537907746992</v>
      </c>
      <c r="M91" s="77">
        <f t="shared" si="58"/>
        <v>0.80495564628205241</v>
      </c>
      <c r="N91" s="77">
        <f t="shared" si="58"/>
        <v>11.146425629540445</v>
      </c>
    </row>
    <row r="92" spans="1:14" x14ac:dyDescent="0.25">
      <c r="A92" s="75" t="s">
        <v>238</v>
      </c>
      <c r="B92" s="73" t="s">
        <v>114</v>
      </c>
      <c r="C92" s="77">
        <f t="shared" ref="C92:N92" si="59" xml:space="preserve"> 112229.10217*C80 - 90275.82325*C79 + 29064.78003*C78 - 4576.65461*C77 + 352.54132*C76 - 10.15</f>
        <v>0.54809639383654307</v>
      </c>
      <c r="D92" s="77">
        <f t="shared" si="59"/>
        <v>0.54809639383654307</v>
      </c>
      <c r="E92" s="77">
        <f t="shared" si="59"/>
        <v>0.54809639383654307</v>
      </c>
      <c r="F92" s="77">
        <f t="shared" si="59"/>
        <v>0.54809639383654307</v>
      </c>
      <c r="G92" s="77">
        <f t="shared" si="59"/>
        <v>0.54809639383654307</v>
      </c>
      <c r="H92" s="77">
        <f t="shared" si="59"/>
        <v>0.58039223955985442</v>
      </c>
      <c r="I92" s="77">
        <f t="shared" si="59"/>
        <v>0.68295890115859059</v>
      </c>
      <c r="J92" s="77">
        <f t="shared" si="59"/>
        <v>0.86238043510451057</v>
      </c>
      <c r="K92" s="77">
        <f t="shared" si="59"/>
        <v>0.86460301276347273</v>
      </c>
      <c r="L92" s="77">
        <f t="shared" si="59"/>
        <v>0.86683390526541437</v>
      </c>
      <c r="M92" s="77">
        <f t="shared" si="59"/>
        <v>0.98920015065178823</v>
      </c>
      <c r="N92" s="77">
        <f t="shared" si="59"/>
        <v>16.376263675551918</v>
      </c>
    </row>
    <row r="93" spans="1:14" x14ac:dyDescent="0.25">
      <c r="A93" s="75" t="s">
        <v>239</v>
      </c>
      <c r="B93" s="73" t="s">
        <v>115</v>
      </c>
      <c r="C93" s="77">
        <f t="shared" ref="C93:N93" si="60" xml:space="preserve"> -6333849.33191*C81 + 7003086.05505*C80 - 3170231.50477*C79 + 753388.16765*C78 - 99065.81153*C77 + 6833.52117*C76 - 192.64</f>
        <v>0.65682139961882058</v>
      </c>
      <c r="D93" s="77">
        <f t="shared" si="60"/>
        <v>0.65682139961882058</v>
      </c>
      <c r="E93" s="77">
        <f t="shared" si="60"/>
        <v>0.65682139961882058</v>
      </c>
      <c r="F93" s="77">
        <f t="shared" si="60"/>
        <v>0.65682139961882058</v>
      </c>
      <c r="G93" s="77">
        <f t="shared" si="60"/>
        <v>0.65682139961882058</v>
      </c>
      <c r="H93" s="77">
        <f t="shared" si="60"/>
        <v>0.70320904439290643</v>
      </c>
      <c r="I93" s="77">
        <f t="shared" si="60"/>
        <v>0.83208417646858379</v>
      </c>
      <c r="J93" s="77">
        <f t="shared" si="60"/>
        <v>1.1219817642137286</v>
      </c>
      <c r="K93" s="77">
        <f t="shared" si="60"/>
        <v>1.1255870263381667</v>
      </c>
      <c r="L93" s="77">
        <f t="shared" si="60"/>
        <v>1.1292040192357717</v>
      </c>
      <c r="M93" s="77">
        <f t="shared" si="60"/>
        <v>1.3248529504340922</v>
      </c>
      <c r="N93" s="77">
        <f t="shared" si="60"/>
        <v>-7.9770043277518425</v>
      </c>
    </row>
    <row r="94" spans="1:14" x14ac:dyDescent="0.25">
      <c r="A94" s="75" t="s">
        <v>240</v>
      </c>
      <c r="B94" s="73" t="s">
        <v>213</v>
      </c>
      <c r="C94" s="77">
        <f xml:space="preserve"> 53881.87664*C80 - 47719.69516*C79 + 17198.62503*C78 - 3090.1397*C77 + 275.82793*C76 - 9.37</f>
        <v>0.39616149627084063</v>
      </c>
      <c r="D94" s="77">
        <f t="shared" ref="D94:N94" si="61" xml:space="preserve"> 53881.87664*D80 - 47719.69516*D79 + 17198.62503*D78 - 3090.1397*D77 + 275.82793*D76 - 9.37</f>
        <v>0.39616149627084063</v>
      </c>
      <c r="E94" s="77">
        <f t="shared" si="61"/>
        <v>0.39616149627084063</v>
      </c>
      <c r="F94" s="77">
        <f t="shared" si="61"/>
        <v>0.39616149627084063</v>
      </c>
      <c r="G94" s="77">
        <f t="shared" si="61"/>
        <v>0.39616149627084063</v>
      </c>
      <c r="H94" s="77">
        <f t="shared" si="61"/>
        <v>0.42494905796745819</v>
      </c>
      <c r="I94" s="77">
        <f t="shared" si="61"/>
        <v>0.45842900459513025</v>
      </c>
      <c r="J94" s="77">
        <f t="shared" si="61"/>
        <v>0.51182393320498498</v>
      </c>
      <c r="K94" s="77">
        <f t="shared" si="61"/>
        <v>0.51254996681472953</v>
      </c>
      <c r="L94" s="77">
        <f t="shared" si="61"/>
        <v>0.51328029359846106</v>
      </c>
      <c r="M94" s="77">
        <f t="shared" si="61"/>
        <v>0.55557620583745937</v>
      </c>
      <c r="N94" s="77">
        <f t="shared" si="61"/>
        <v>6.4494831570452842</v>
      </c>
    </row>
    <row r="95" spans="1:14" x14ac:dyDescent="0.25">
      <c r="A95" s="75" t="s">
        <v>241</v>
      </c>
      <c r="B95" s="73" t="s">
        <v>116</v>
      </c>
      <c r="C95" s="77">
        <f t="shared" ref="C95:N95" si="62" xml:space="preserve"> -13296.8167*C80 + 17338.63401*C79 - 7542.52455*C78 + 1552.59022*C77 - 152.78609*C76 + 6.19</f>
        <v>0.4439577446041616</v>
      </c>
      <c r="D95" s="77">
        <f t="shared" si="62"/>
        <v>0.4439577446041616</v>
      </c>
      <c r="E95" s="77">
        <f t="shared" si="62"/>
        <v>0.4439577446041616</v>
      </c>
      <c r="F95" s="77">
        <f t="shared" si="62"/>
        <v>0.4439577446041616</v>
      </c>
      <c r="G95" s="77">
        <f t="shared" si="62"/>
        <v>0.4439577446041616</v>
      </c>
      <c r="H95" s="77">
        <f t="shared" si="62"/>
        <v>0.45827779513697298</v>
      </c>
      <c r="I95" s="77">
        <f t="shared" si="62"/>
        <v>0.52521959385569428</v>
      </c>
      <c r="J95" s="77">
        <f t="shared" si="62"/>
        <v>0.63180289836374381</v>
      </c>
      <c r="K95" s="77">
        <f t="shared" si="62"/>
        <v>0.63309222523196862</v>
      </c>
      <c r="L95" s="77">
        <f t="shared" si="62"/>
        <v>0.6343863009364652</v>
      </c>
      <c r="M95" s="77">
        <f t="shared" si="62"/>
        <v>0.70565274488715257</v>
      </c>
      <c r="N95" s="77">
        <f t="shared" si="62"/>
        <v>6.3222870526361516</v>
      </c>
    </row>
    <row r="96" spans="1:14" x14ac:dyDescent="0.25">
      <c r="A96" s="75" t="s">
        <v>242</v>
      </c>
      <c r="B96" s="73" t="s">
        <v>117</v>
      </c>
      <c r="C96" s="77">
        <f t="shared" ref="C96:N96" si="63" xml:space="preserve"> 57255.69581*C80 - 44678.74747*C79 + 14023.41918*C78 - 2111.06396*C77 + 151.68701*C76 - 3.73</f>
        <v>0.46570837364019413</v>
      </c>
      <c r="D96" s="77">
        <f t="shared" si="63"/>
        <v>0.46570837364019413</v>
      </c>
      <c r="E96" s="77">
        <f t="shared" si="63"/>
        <v>0.46570837364019413</v>
      </c>
      <c r="F96" s="77">
        <f t="shared" si="63"/>
        <v>0.46570837364019413</v>
      </c>
      <c r="G96" s="77">
        <f t="shared" si="63"/>
        <v>0.46570837364019413</v>
      </c>
      <c r="H96" s="77">
        <f t="shared" si="63"/>
        <v>0.49345297606570826</v>
      </c>
      <c r="I96" s="77">
        <f t="shared" si="63"/>
        <v>0.5948680386749321</v>
      </c>
      <c r="J96" s="77">
        <f t="shared" si="63"/>
        <v>0.77202575990670086</v>
      </c>
      <c r="K96" s="77">
        <f t="shared" si="63"/>
        <v>0.77422143659018205</v>
      </c>
      <c r="L96" s="77">
        <f t="shared" si="63"/>
        <v>0.77642546870698981</v>
      </c>
      <c r="M96" s="77">
        <f t="shared" si="63"/>
        <v>0.89754924726812435</v>
      </c>
      <c r="N96" s="77">
        <f t="shared" si="63"/>
        <v>11.783905482145865</v>
      </c>
    </row>
    <row r="97" spans="1:14" x14ac:dyDescent="0.25">
      <c r="A97" s="75" t="s">
        <v>243</v>
      </c>
      <c r="B97" s="73" t="s">
        <v>118</v>
      </c>
      <c r="C97" s="77">
        <f t="shared" ref="C97:N97" si="64" xml:space="preserve"> 143089.62452*C80 - 117343.50532*C79 + 38649.35375*C78 - 6217.22547*C77 + 488.33352*C76 - 14.52</f>
        <v>0.56623739370087023</v>
      </c>
      <c r="D97" s="77">
        <f t="shared" si="64"/>
        <v>0.56623739370087023</v>
      </c>
      <c r="E97" s="77">
        <f t="shared" si="64"/>
        <v>0.56623739370087023</v>
      </c>
      <c r="F97" s="77">
        <f t="shared" si="64"/>
        <v>0.56623739370087023</v>
      </c>
      <c r="G97" s="77">
        <f t="shared" si="64"/>
        <v>0.56623739370087023</v>
      </c>
      <c r="H97" s="77">
        <f t="shared" si="64"/>
        <v>0.61310170000922071</v>
      </c>
      <c r="I97" s="77">
        <f t="shared" si="64"/>
        <v>0.76347349917082497</v>
      </c>
      <c r="J97" s="77">
        <f t="shared" si="64"/>
        <v>1.0361082432000153</v>
      </c>
      <c r="K97" s="77">
        <f t="shared" si="64"/>
        <v>1.0395379042278385</v>
      </c>
      <c r="L97" s="77">
        <f t="shared" si="64"/>
        <v>1.0429813714711251</v>
      </c>
      <c r="M97" s="77">
        <f t="shared" si="64"/>
        <v>1.2330692449392124</v>
      </c>
      <c r="N97" s="77">
        <f t="shared" si="64"/>
        <v>21.258135193944394</v>
      </c>
    </row>
    <row r="98" spans="1:14" x14ac:dyDescent="0.25">
      <c r="A98" s="75" t="s">
        <v>244</v>
      </c>
      <c r="B98" s="73" t="s">
        <v>214</v>
      </c>
      <c r="C98" s="77">
        <f xml:space="preserve"> 30265.1424899999*C80 - 26816.90085*C79 + 9821.16503*C78 - 1803.67859*C77 + 165.46921*C76 - 5.71</f>
        <v>0.33664770919116993</v>
      </c>
      <c r="D98" s="77">
        <f xml:space="preserve"> 30265.1424899999*D80 - 26816.90085*D79 + 9821.16503*D78 - 1803.67859*D77 + 165.46921*D76 - 5.71</f>
        <v>0.33664770919116993</v>
      </c>
      <c r="E98" s="77">
        <f t="shared" ref="E98:N98" si="65" xml:space="preserve"> 30265.1424899999*E80 - 26816.90085*E79 + 9821.16503*E78 - 1803.67859*E77 + 165.46921*E76 - 5.71</f>
        <v>0.33664770919116993</v>
      </c>
      <c r="F98" s="77">
        <f t="shared" si="65"/>
        <v>0.33664770919116993</v>
      </c>
      <c r="G98" s="77">
        <f t="shared" si="65"/>
        <v>0.33664770919116993</v>
      </c>
      <c r="H98" s="77">
        <f t="shared" si="65"/>
        <v>0.36455047778609195</v>
      </c>
      <c r="I98" s="77">
        <f t="shared" si="65"/>
        <v>0.39969954855701761</v>
      </c>
      <c r="J98" s="77">
        <f t="shared" si="65"/>
        <v>0.44849832660988032</v>
      </c>
      <c r="K98" s="77">
        <f t="shared" si="65"/>
        <v>0.44913283536612614</v>
      </c>
      <c r="L98" s="77">
        <f t="shared" si="65"/>
        <v>0.44977072562818154</v>
      </c>
      <c r="M98" s="77">
        <f t="shared" si="65"/>
        <v>0.48630259663210129</v>
      </c>
      <c r="N98" s="77">
        <f t="shared" si="65"/>
        <v>4.7207755952452795</v>
      </c>
    </row>
    <row r="99" spans="1:14" x14ac:dyDescent="0.25">
      <c r="A99" s="75" t="s">
        <v>245</v>
      </c>
      <c r="B99" s="73" t="s">
        <v>119</v>
      </c>
      <c r="C99" s="77">
        <f t="shared" ref="C99:N99" si="66" xml:space="preserve"> 54477.25649*C80 - 47053.5012*C79 + 16421.96104*C78 - 2825.53995*C77 + 239.64014*C76 - 7.66</f>
        <v>0.38474465697996862</v>
      </c>
      <c r="D99" s="77">
        <f t="shared" si="66"/>
        <v>0.38474465697996862</v>
      </c>
      <c r="E99" s="77">
        <f t="shared" si="66"/>
        <v>0.38474465697996862</v>
      </c>
      <c r="F99" s="77">
        <f t="shared" si="66"/>
        <v>0.38474465697996862</v>
      </c>
      <c r="G99" s="77">
        <f t="shared" si="66"/>
        <v>0.38474465697996862</v>
      </c>
      <c r="H99" s="77">
        <f t="shared" si="66"/>
        <v>0.40836769042580201</v>
      </c>
      <c r="I99" s="77">
        <f t="shared" si="66"/>
        <v>0.45736148960211054</v>
      </c>
      <c r="J99" s="77">
        <f t="shared" si="66"/>
        <v>0.54473173382029572</v>
      </c>
      <c r="K99" s="77">
        <f t="shared" si="66"/>
        <v>0.54586285827938852</v>
      </c>
      <c r="L99" s="77">
        <f t="shared" si="66"/>
        <v>0.54699925490264789</v>
      </c>
      <c r="M99" s="77">
        <f t="shared" si="66"/>
        <v>0.61071219825106127</v>
      </c>
      <c r="N99" s="77">
        <f t="shared" si="66"/>
        <v>7.2079923798344474</v>
      </c>
    </row>
    <row r="100" spans="1:14" x14ac:dyDescent="0.25">
      <c r="A100" s="75" t="s">
        <v>246</v>
      </c>
      <c r="B100" s="73" t="s">
        <v>120</v>
      </c>
      <c r="C100" s="77">
        <f t="shared" ref="C100:N100" si="67" xml:space="preserve"> 76208.6211*C80 - 64528.35091*C79 + 21766.90698*C78 - 3544.03862*C77 + 277.89526*C76 - 8.01</f>
        <v>0.43220584929792061</v>
      </c>
      <c r="D100" s="77">
        <f t="shared" si="67"/>
        <v>0.43220584929792061</v>
      </c>
      <c r="E100" s="77">
        <f t="shared" si="67"/>
        <v>0.43220584929792061</v>
      </c>
      <c r="F100" s="77">
        <f t="shared" si="67"/>
        <v>0.43220584929792061</v>
      </c>
      <c r="G100" s="77">
        <f t="shared" si="67"/>
        <v>0.43220584929792061</v>
      </c>
      <c r="H100" s="77">
        <f t="shared" si="67"/>
        <v>0.4477313349163321</v>
      </c>
      <c r="I100" s="77">
        <f t="shared" si="67"/>
        <v>0.52706321156002467</v>
      </c>
      <c r="J100" s="77">
        <f t="shared" si="67"/>
        <v>0.68991363451202936</v>
      </c>
      <c r="K100" s="77">
        <f t="shared" si="67"/>
        <v>0.69199791823184675</v>
      </c>
      <c r="L100" s="77">
        <f t="shared" si="67"/>
        <v>0.69409087782299927</v>
      </c>
      <c r="M100" s="77">
        <f t="shared" si="67"/>
        <v>0.80973074635400444</v>
      </c>
      <c r="N100" s="77">
        <f t="shared" si="67"/>
        <v>10.349835045970101</v>
      </c>
    </row>
    <row r="101" spans="1:14" x14ac:dyDescent="0.25">
      <c r="A101" s="75" t="s">
        <v>247</v>
      </c>
      <c r="B101" s="73" t="s">
        <v>121</v>
      </c>
      <c r="C101" s="77">
        <f t="shared" ref="C101:N101" si="68" xml:space="preserve"> 73827.1017*C80 - 60714.3115*C79 + 20349.36168*C78 - 3304.30929*C77 + 259.49856*C76 - 7.45</f>
        <v>0.51880531142144104</v>
      </c>
      <c r="D101" s="77">
        <f t="shared" si="68"/>
        <v>0.51880531142144104</v>
      </c>
      <c r="E101" s="77">
        <f t="shared" si="68"/>
        <v>0.51880531142144104</v>
      </c>
      <c r="F101" s="77">
        <f t="shared" si="68"/>
        <v>0.51880531142144104</v>
      </c>
      <c r="G101" s="77">
        <f t="shared" si="68"/>
        <v>0.51880531142144104</v>
      </c>
      <c r="H101" s="77">
        <f t="shared" si="68"/>
        <v>0.55880287955773067</v>
      </c>
      <c r="I101" s="77">
        <f t="shared" si="68"/>
        <v>0.69335418341640587</v>
      </c>
      <c r="J101" s="77">
        <f t="shared" si="68"/>
        <v>0.94067217174888196</v>
      </c>
      <c r="K101" s="77">
        <f t="shared" si="68"/>
        <v>0.94382023580158414</v>
      </c>
      <c r="L101" s="77">
        <f t="shared" si="68"/>
        <v>0.94698190352344636</v>
      </c>
      <c r="M101" s="77">
        <f t="shared" si="68"/>
        <v>1.1228646457439906</v>
      </c>
      <c r="N101" s="77">
        <f t="shared" si="68"/>
        <v>15.123098854973495</v>
      </c>
    </row>
    <row r="102" spans="1:14" x14ac:dyDescent="0.25">
      <c r="A102" s="75" t="s">
        <v>248</v>
      </c>
      <c r="B102" s="73" t="s">
        <v>219</v>
      </c>
      <c r="C102" s="77">
        <f xml:space="preserve"> 40733.9049*C80 - 36751.17452*C79 + 13395.20097*C78 - 2415.4317*C77 + 215.01129*C76 - 7.26</f>
        <v>0.29891195010047689</v>
      </c>
      <c r="D102" s="77">
        <f t="shared" ref="D102:N102" si="69" xml:space="preserve"> 40733.9049*D80 - 36751.17452*D79 + 13395.20097*D78 - 2415.4317*D77 + 215.01129*D76 - 7.26</f>
        <v>0.29891195010047689</v>
      </c>
      <c r="E102" s="77">
        <f t="shared" si="69"/>
        <v>0.29891195010047689</v>
      </c>
      <c r="F102" s="77">
        <f t="shared" si="69"/>
        <v>0.29891195010047689</v>
      </c>
      <c r="G102" s="77">
        <f t="shared" si="69"/>
        <v>0.29891195010047689</v>
      </c>
      <c r="H102" s="77">
        <f t="shared" si="69"/>
        <v>0.31855532290960475</v>
      </c>
      <c r="I102" s="77">
        <f t="shared" si="69"/>
        <v>0.34407850561900766</v>
      </c>
      <c r="J102" s="77">
        <f t="shared" si="69"/>
        <v>0.38931333384438993</v>
      </c>
      <c r="K102" s="77">
        <f t="shared" si="69"/>
        <v>0.38993039407342245</v>
      </c>
      <c r="L102" s="77">
        <f t="shared" si="69"/>
        <v>0.39055099172283825</v>
      </c>
      <c r="M102" s="77">
        <f t="shared" si="69"/>
        <v>0.4262438402865012</v>
      </c>
      <c r="N102" s="77">
        <f t="shared" si="69"/>
        <v>4.4536605762765102</v>
      </c>
    </row>
    <row r="103" spans="1:14" x14ac:dyDescent="0.25">
      <c r="A103" s="75" t="s">
        <v>249</v>
      </c>
      <c r="B103" s="73" t="s">
        <v>141</v>
      </c>
      <c r="C103" s="77">
        <f t="shared" ref="C103:N103" si="70" xml:space="preserve"> 58644.91546*C80 - 51277.08978*C79+ 18140.63323*C78 - 3175.6924*C77 + 274.28544*C76 - 9.02</f>
        <v>0.33775228503347066</v>
      </c>
      <c r="D103" s="77">
        <f t="shared" si="70"/>
        <v>0.33775228503347066</v>
      </c>
      <c r="E103" s="77">
        <f t="shared" si="70"/>
        <v>0.33775228503347066</v>
      </c>
      <c r="F103" s="77">
        <f t="shared" si="70"/>
        <v>0.33775228503347066</v>
      </c>
      <c r="G103" s="77">
        <f t="shared" si="70"/>
        <v>0.33775228503347066</v>
      </c>
      <c r="H103" s="77">
        <f t="shared" si="70"/>
        <v>0.3580899876167507</v>
      </c>
      <c r="I103" s="77">
        <f t="shared" si="70"/>
        <v>0.39296051222506989</v>
      </c>
      <c r="J103" s="77">
        <f t="shared" si="70"/>
        <v>0.4617043556117828</v>
      </c>
      <c r="K103" s="77">
        <f t="shared" si="70"/>
        <v>0.4626386195478851</v>
      </c>
      <c r="L103" s="77">
        <f t="shared" si="70"/>
        <v>0.46357807647144611</v>
      </c>
      <c r="M103" s="77">
        <f t="shared" si="70"/>
        <v>0.51738466701838703</v>
      </c>
      <c r="N103" s="77">
        <f t="shared" si="70"/>
        <v>7.0931345839390723</v>
      </c>
    </row>
    <row r="104" spans="1:14" x14ac:dyDescent="0.25">
      <c r="A104" s="75" t="s">
        <v>250</v>
      </c>
      <c r="B104" s="161" t="s">
        <v>142</v>
      </c>
      <c r="C104" s="165">
        <f xml:space="preserve"> 29372.07272*C80 - 22669.98997*C79 + 6956.69784*C78 - 960.8162*C77 + 55.83313*C76 - 0.51</f>
        <v>0.40541822724710452</v>
      </c>
      <c r="D104" s="165">
        <f t="shared" ref="D104:N104" si="71" xml:space="preserve"> 29372.07272*D80 - 22669.98997*D79 + 6956.69784*D78 - 960.8162*D77 + 55.83313*D76 - 0.51</f>
        <v>0.40541822724710452</v>
      </c>
      <c r="E104" s="165">
        <f t="shared" si="71"/>
        <v>0.40541822724710452</v>
      </c>
      <c r="F104" s="165">
        <f t="shared" si="71"/>
        <v>0.40541822724710452</v>
      </c>
      <c r="G104" s="165">
        <f t="shared" si="71"/>
        <v>0.40541822724710452</v>
      </c>
      <c r="H104" s="165">
        <f t="shared" si="71"/>
        <v>0.41363027079978276</v>
      </c>
      <c r="I104" s="165">
        <f t="shared" si="71"/>
        <v>0.48944370856037955</v>
      </c>
      <c r="J104" s="165">
        <f t="shared" si="71"/>
        <v>0.6412350724007625</v>
      </c>
      <c r="K104" s="165">
        <f t="shared" si="71"/>
        <v>0.64315399420121699</v>
      </c>
      <c r="L104" s="165">
        <f t="shared" si="71"/>
        <v>0.64508063888770883</v>
      </c>
      <c r="M104" s="165">
        <f t="shared" si="71"/>
        <v>0.75133336276453533</v>
      </c>
      <c r="N104" s="165">
        <f t="shared" si="71"/>
        <v>7.7703451915223756</v>
      </c>
    </row>
    <row r="105" spans="1:14" x14ac:dyDescent="0.25">
      <c r="A105" s="75" t="s">
        <v>251</v>
      </c>
      <c r="B105" s="161" t="s">
        <v>143</v>
      </c>
      <c r="C105" s="162">
        <f xml:space="preserve"> 4564.57887*C80 - 4085.11767*C79 + 2049.36962*C78 - 391.39311*C77 + 30.6636*C76 - 0.38</f>
        <v>0.47137324824678373</v>
      </c>
      <c r="D105" s="162">
        <f t="shared" ref="D105:N105" si="72" xml:space="preserve"> 4564.57887*D80 - 4085.11767*D79 + 2049.36962*D78 - 391.39311*D77 + 30.6636*D76 - 0.38</f>
        <v>0.47137324824678373</v>
      </c>
      <c r="E105" s="162">
        <f t="shared" si="72"/>
        <v>0.47137324824678373</v>
      </c>
      <c r="F105" s="162">
        <f t="shared" si="72"/>
        <v>0.47137324824678373</v>
      </c>
      <c r="G105" s="162">
        <f t="shared" si="72"/>
        <v>0.47137324824678373</v>
      </c>
      <c r="H105" s="162">
        <f t="shared" si="72"/>
        <v>0.50450408479750741</v>
      </c>
      <c r="I105" s="162">
        <f t="shared" si="72"/>
        <v>0.62323490715312146</v>
      </c>
      <c r="J105" s="162">
        <f t="shared" si="72"/>
        <v>0.84523615772790428</v>
      </c>
      <c r="K105" s="162">
        <f t="shared" si="72"/>
        <v>0.84810262501054534</v>
      </c>
      <c r="L105" s="162">
        <f t="shared" si="72"/>
        <v>0.85098249341649967</v>
      </c>
      <c r="M105" s="162">
        <f t="shared" si="72"/>
        <v>1.0126601153150032</v>
      </c>
      <c r="N105" s="162">
        <f t="shared" si="72"/>
        <v>8.9880629149859868</v>
      </c>
    </row>
    <row r="106" spans="1:14" x14ac:dyDescent="0.25">
      <c r="A106" s="179"/>
      <c r="B106" s="59" t="s">
        <v>220</v>
      </c>
      <c r="C106" s="67">
        <f>($C12-0.75)*($C12-0.8)/0.005</f>
        <v>-0.12062693802647741</v>
      </c>
      <c r="D106" s="67">
        <f t="shared" ref="D106:N106" si="73">($C12-0.75)*($C12-0.8)/0.005</f>
        <v>-0.12062693802647741</v>
      </c>
      <c r="E106" s="67">
        <f t="shared" si="73"/>
        <v>-0.12062693802647741</v>
      </c>
      <c r="F106" s="67">
        <f t="shared" si="73"/>
        <v>-0.12062693802647741</v>
      </c>
      <c r="G106" s="67">
        <f t="shared" si="73"/>
        <v>-0.12062693802647741</v>
      </c>
      <c r="H106" s="67">
        <f t="shared" si="73"/>
        <v>-0.12062693802647741</v>
      </c>
      <c r="I106" s="67">
        <f t="shared" si="73"/>
        <v>-0.12062693802647741</v>
      </c>
      <c r="J106" s="67">
        <f t="shared" si="73"/>
        <v>-0.12062693802647741</v>
      </c>
      <c r="K106" s="67">
        <f t="shared" si="73"/>
        <v>-0.12062693802647741</v>
      </c>
      <c r="L106" s="67">
        <f t="shared" si="73"/>
        <v>-0.12062693802647741</v>
      </c>
      <c r="M106" s="67">
        <f t="shared" si="73"/>
        <v>-0.12062693802647741</v>
      </c>
      <c r="N106" s="67">
        <f t="shared" si="73"/>
        <v>-0.12062693802647741</v>
      </c>
    </row>
    <row r="107" spans="1:14" x14ac:dyDescent="0.25">
      <c r="A107" s="179"/>
      <c r="B107" s="59" t="s">
        <v>144</v>
      </c>
      <c r="C107" s="67">
        <f>($C12-0.7)*($C12-0.8)/0.0025</f>
        <v>-0.8347745900528265</v>
      </c>
      <c r="D107" s="67">
        <f t="shared" ref="D107:N107" si="74">($C12-0.7)*($C12-0.8)/0.0025</f>
        <v>-0.8347745900528265</v>
      </c>
      <c r="E107" s="67">
        <f t="shared" si="74"/>
        <v>-0.8347745900528265</v>
      </c>
      <c r="F107" s="67">
        <f t="shared" si="74"/>
        <v>-0.8347745900528265</v>
      </c>
      <c r="G107" s="67">
        <f t="shared" si="74"/>
        <v>-0.8347745900528265</v>
      </c>
      <c r="H107" s="67">
        <f t="shared" si="74"/>
        <v>-0.8347745900528265</v>
      </c>
      <c r="I107" s="67">
        <f t="shared" si="74"/>
        <v>-0.8347745900528265</v>
      </c>
      <c r="J107" s="67">
        <f t="shared" si="74"/>
        <v>-0.8347745900528265</v>
      </c>
      <c r="K107" s="67">
        <f t="shared" si="74"/>
        <v>-0.8347745900528265</v>
      </c>
      <c r="L107" s="67">
        <f t="shared" si="74"/>
        <v>-0.8347745900528265</v>
      </c>
      <c r="M107" s="67">
        <f t="shared" si="74"/>
        <v>-0.8347745900528265</v>
      </c>
      <c r="N107" s="67">
        <f t="shared" si="74"/>
        <v>-0.8347745900528265</v>
      </c>
    </row>
    <row r="108" spans="1:14" x14ac:dyDescent="0.25">
      <c r="A108" s="168"/>
      <c r="B108" s="169" t="s">
        <v>145</v>
      </c>
      <c r="C108" s="167">
        <f>($C12-0.7)*($C12-0.75)/0.005</f>
        <v>0.28585234797365278</v>
      </c>
      <c r="D108" s="167">
        <f t="shared" ref="D108:N108" si="75">($C12-0.7)*($C12-0.75)/0.005</f>
        <v>0.28585234797365278</v>
      </c>
      <c r="E108" s="167">
        <f t="shared" si="75"/>
        <v>0.28585234797365278</v>
      </c>
      <c r="F108" s="167">
        <f t="shared" si="75"/>
        <v>0.28585234797365278</v>
      </c>
      <c r="G108" s="167">
        <f t="shared" si="75"/>
        <v>0.28585234797365278</v>
      </c>
      <c r="H108" s="167">
        <f t="shared" si="75"/>
        <v>0.28585234797365278</v>
      </c>
      <c r="I108" s="167">
        <f t="shared" si="75"/>
        <v>0.28585234797365278</v>
      </c>
      <c r="J108" s="167">
        <f t="shared" si="75"/>
        <v>0.28585234797365278</v>
      </c>
      <c r="K108" s="167">
        <f t="shared" si="75"/>
        <v>0.28585234797365278</v>
      </c>
      <c r="L108" s="167">
        <f t="shared" si="75"/>
        <v>0.28585234797365278</v>
      </c>
      <c r="M108" s="167">
        <f t="shared" si="75"/>
        <v>0.28585234797365278</v>
      </c>
      <c r="N108" s="167">
        <f t="shared" si="75"/>
        <v>0.28585234797365278</v>
      </c>
    </row>
    <row r="109" spans="1:14" x14ac:dyDescent="0.25">
      <c r="A109" s="168"/>
      <c r="B109" s="169" t="s">
        <v>146</v>
      </c>
      <c r="C109" s="167">
        <f>($C12-0.8)*($C12-0.85)/0.005</f>
        <v>0.47289377597339355</v>
      </c>
      <c r="D109" s="167">
        <f t="shared" ref="D109:N109" si="76">($C12-0.8)*($C12-0.85)/0.005</f>
        <v>0.47289377597339355</v>
      </c>
      <c r="E109" s="167">
        <f t="shared" si="76"/>
        <v>0.47289377597339355</v>
      </c>
      <c r="F109" s="167">
        <f t="shared" si="76"/>
        <v>0.47289377597339355</v>
      </c>
      <c r="G109" s="167">
        <f t="shared" si="76"/>
        <v>0.47289377597339355</v>
      </c>
      <c r="H109" s="167">
        <f t="shared" si="76"/>
        <v>0.47289377597339355</v>
      </c>
      <c r="I109" s="167">
        <f t="shared" si="76"/>
        <v>0.47289377597339355</v>
      </c>
      <c r="J109" s="167">
        <f t="shared" si="76"/>
        <v>0.47289377597339355</v>
      </c>
      <c r="K109" s="167">
        <f t="shared" si="76"/>
        <v>0.47289377597339355</v>
      </c>
      <c r="L109" s="167">
        <f t="shared" si="76"/>
        <v>0.47289377597339355</v>
      </c>
      <c r="M109" s="167">
        <f t="shared" si="76"/>
        <v>0.47289377597339355</v>
      </c>
      <c r="N109" s="167">
        <f t="shared" si="76"/>
        <v>0.47289377597339355</v>
      </c>
    </row>
    <row r="110" spans="1:14" x14ac:dyDescent="0.25">
      <c r="A110" s="168"/>
      <c r="B110" s="169" t="s">
        <v>147</v>
      </c>
      <c r="C110" s="167">
        <f>($C12-0.75)*($C12-0.85)/0.0025</f>
        <v>-0.64773316205308418</v>
      </c>
      <c r="D110" s="167">
        <f t="shared" ref="D110:N110" si="77">($C12-0.75)*($C12-0.85)/0.0025</f>
        <v>-0.64773316205308418</v>
      </c>
      <c r="E110" s="167">
        <f t="shared" si="77"/>
        <v>-0.64773316205308418</v>
      </c>
      <c r="F110" s="167">
        <f t="shared" si="77"/>
        <v>-0.64773316205308418</v>
      </c>
      <c r="G110" s="167">
        <f t="shared" si="77"/>
        <v>-0.64773316205308418</v>
      </c>
      <c r="H110" s="167">
        <f t="shared" si="77"/>
        <v>-0.64773316205308418</v>
      </c>
      <c r="I110" s="167">
        <f t="shared" si="77"/>
        <v>-0.64773316205308418</v>
      </c>
      <c r="J110" s="167">
        <f t="shared" si="77"/>
        <v>-0.64773316205308418</v>
      </c>
      <c r="K110" s="167">
        <f t="shared" si="77"/>
        <v>-0.64773316205308418</v>
      </c>
      <c r="L110" s="167">
        <f t="shared" si="77"/>
        <v>-0.64773316205308418</v>
      </c>
      <c r="M110" s="167">
        <f t="shared" si="77"/>
        <v>-0.64773316205308418</v>
      </c>
      <c r="N110" s="167">
        <f t="shared" si="77"/>
        <v>-0.64773316205308418</v>
      </c>
    </row>
    <row r="111" spans="1:14" x14ac:dyDescent="0.25">
      <c r="A111" s="180" t="s">
        <v>252</v>
      </c>
      <c r="B111" s="187" t="s">
        <v>221</v>
      </c>
      <c r="C111" s="181">
        <f t="shared" ref="C111:N111" si="78">IF($C12&lt;0.775,C106*C82-C107*C83+C108*C84,C109*C83-C110*C84+C106*C85)</f>
        <v>0.67971415074026098</v>
      </c>
      <c r="D111" s="181">
        <f t="shared" si="78"/>
        <v>0.67971415074026098</v>
      </c>
      <c r="E111" s="181">
        <f t="shared" si="78"/>
        <v>0.67971415074026098</v>
      </c>
      <c r="F111" s="181">
        <f t="shared" si="78"/>
        <v>0.67971415074026098</v>
      </c>
      <c r="G111" s="181">
        <f t="shared" si="78"/>
        <v>0.67971415074026098</v>
      </c>
      <c r="H111" s="181">
        <f t="shared" si="78"/>
        <v>0.71944127141616487</v>
      </c>
      <c r="I111" s="181">
        <f t="shared" si="78"/>
        <v>0.82642428258066225</v>
      </c>
      <c r="J111" s="181">
        <f t="shared" si="78"/>
        <v>1.0075836627380084</v>
      </c>
      <c r="K111" s="181">
        <f t="shared" si="78"/>
        <v>1.0097788110592383</v>
      </c>
      <c r="L111" s="181">
        <f t="shared" si="78"/>
        <v>1.0119809501781312</v>
      </c>
      <c r="M111" s="181">
        <f t="shared" si="78"/>
        <v>1.1310539248276896</v>
      </c>
      <c r="N111" s="181">
        <f t="shared" si="78"/>
        <v>25.544828520257401</v>
      </c>
    </row>
    <row r="112" spans="1:14" x14ac:dyDescent="0.25">
      <c r="A112" s="180" t="s">
        <v>253</v>
      </c>
      <c r="B112" s="187" t="s">
        <v>223</v>
      </c>
      <c r="C112" s="181">
        <f t="shared" ref="C112:N112" si="79">IF($C12&lt;0.775,C106*C86-C107*C87+C108*C88,C109*C87-C110*C88+C106*C89)</f>
        <v>0.57706971667841844</v>
      </c>
      <c r="D112" s="181">
        <f t="shared" si="79"/>
        <v>0.57706971667841844</v>
      </c>
      <c r="E112" s="181">
        <f t="shared" si="79"/>
        <v>0.57706971667841844</v>
      </c>
      <c r="F112" s="181">
        <f t="shared" si="79"/>
        <v>0.57706971667841844</v>
      </c>
      <c r="G112" s="181">
        <f t="shared" si="79"/>
        <v>0.57706971667841844</v>
      </c>
      <c r="H112" s="181">
        <f t="shared" si="79"/>
        <v>0.62153806322105187</v>
      </c>
      <c r="I112" s="181">
        <f t="shared" si="79"/>
        <v>0.7097420616617548</v>
      </c>
      <c r="J112" s="181">
        <f t="shared" si="79"/>
        <v>0.87467130240342927</v>
      </c>
      <c r="K112" s="181">
        <f t="shared" si="79"/>
        <v>0.87677295230106145</v>
      </c>
      <c r="L112" s="181">
        <f t="shared" si="79"/>
        <v>0.87888301618395559</v>
      </c>
      <c r="M112" s="181">
        <f t="shared" si="79"/>
        <v>0.99490239277585912</v>
      </c>
      <c r="N112" s="181">
        <f t="shared" si="79"/>
        <v>21.316305047035954</v>
      </c>
    </row>
    <row r="113" spans="1:14" x14ac:dyDescent="0.25">
      <c r="A113" s="180" t="s">
        <v>254</v>
      </c>
      <c r="B113" s="187" t="s">
        <v>222</v>
      </c>
      <c r="C113" s="181">
        <f t="shared" ref="C113:N113" si="80">IF($C12&lt;0.775,C106*C90-C107*C91+C108*C92,C109*C91-C110*C92+C106*C93)</f>
        <v>0.51370185049459027</v>
      </c>
      <c r="D113" s="181">
        <f t="shared" si="80"/>
        <v>0.51370185049459027</v>
      </c>
      <c r="E113" s="181">
        <f t="shared" si="80"/>
        <v>0.51370185049459027</v>
      </c>
      <c r="F113" s="181">
        <f t="shared" si="80"/>
        <v>0.51370185049459027</v>
      </c>
      <c r="G113" s="181">
        <f t="shared" si="80"/>
        <v>0.51370185049459027</v>
      </c>
      <c r="H113" s="181">
        <f t="shared" si="80"/>
        <v>0.53762237863077578</v>
      </c>
      <c r="I113" s="181">
        <f t="shared" si="80"/>
        <v>0.62264058696452917</v>
      </c>
      <c r="J113" s="181">
        <f t="shared" si="80"/>
        <v>0.7722375553437093</v>
      </c>
      <c r="K113" s="181">
        <f t="shared" si="80"/>
        <v>0.77407264284478716</v>
      </c>
      <c r="L113" s="181">
        <f t="shared" si="80"/>
        <v>0.77591409030096492</v>
      </c>
      <c r="M113" s="181">
        <f t="shared" si="80"/>
        <v>0.8761411414771807</v>
      </c>
      <c r="N113" s="181">
        <f t="shared" si="80"/>
        <v>13.282076740753663</v>
      </c>
    </row>
    <row r="114" spans="1:14" x14ac:dyDescent="0.25">
      <c r="A114" s="180" t="s">
        <v>255</v>
      </c>
      <c r="B114" s="187" t="s">
        <v>225</v>
      </c>
      <c r="C114" s="181">
        <f t="shared" ref="C114:N114" si="81">IF($C12&lt;0.775,C106*C94-C107*C95+C108*C96,C109*C95-C110*C96+C106*C97)</f>
        <v>0.45594072806961788</v>
      </c>
      <c r="D114" s="181">
        <f t="shared" si="81"/>
        <v>0.45594072806961788</v>
      </c>
      <c r="E114" s="181">
        <f t="shared" si="81"/>
        <v>0.45594072806961788</v>
      </c>
      <c r="F114" s="181">
        <f t="shared" si="81"/>
        <v>0.45594072806961788</v>
      </c>
      <c r="G114" s="181">
        <f t="shared" si="81"/>
        <v>0.45594072806961788</v>
      </c>
      <c r="H114" s="181">
        <f t="shared" si="81"/>
        <v>0.47235304670889866</v>
      </c>
      <c r="I114" s="181">
        <f t="shared" si="81"/>
        <v>0.55318550961147372</v>
      </c>
      <c r="J114" s="181">
        <f t="shared" si="81"/>
        <v>0.68635862777007017</v>
      </c>
      <c r="K114" s="181">
        <f t="shared" si="81"/>
        <v>0.68797498520205302</v>
      </c>
      <c r="L114" s="181">
        <f t="shared" si="81"/>
        <v>0.68959717738968995</v>
      </c>
      <c r="M114" s="181">
        <f t="shared" si="81"/>
        <v>0.77861008403586185</v>
      </c>
      <c r="N114" s="181">
        <f t="shared" si="81"/>
        <v>7.8681602278439193</v>
      </c>
    </row>
    <row r="115" spans="1:14" x14ac:dyDescent="0.25">
      <c r="A115" s="180" t="s">
        <v>256</v>
      </c>
      <c r="B115" s="187" t="s">
        <v>226</v>
      </c>
      <c r="C115" s="181">
        <f t="shared" ref="C115:N115" si="82">IF($C12&lt;0.775,C106*C98-C107*C99+C108*C100,C109*C99-C110*C100+C106*C101)</f>
        <v>0.4041133377818672</v>
      </c>
      <c r="D115" s="181">
        <f t="shared" si="82"/>
        <v>0.4041133377818672</v>
      </c>
      <c r="E115" s="181">
        <f t="shared" si="82"/>
        <v>0.4041133377818672</v>
      </c>
      <c r="F115" s="181">
        <f t="shared" si="82"/>
        <v>0.4041133377818672</v>
      </c>
      <c r="G115" s="181">
        <f t="shared" si="82"/>
        <v>0.4041133377818672</v>
      </c>
      <c r="H115" s="181">
        <f t="shared" si="82"/>
        <v>0.42490541682180422</v>
      </c>
      <c r="I115" s="181">
        <f t="shared" si="82"/>
        <v>0.48424147387052074</v>
      </c>
      <c r="J115" s="181">
        <f t="shared" si="82"/>
        <v>0.59784066226395405</v>
      </c>
      <c r="K115" s="181">
        <f t="shared" si="82"/>
        <v>0.59930415476732812</v>
      </c>
      <c r="L115" s="181">
        <f t="shared" si="82"/>
        <v>0.60077412045688316</v>
      </c>
      <c r="M115" s="181">
        <f t="shared" si="82"/>
        <v>0.68260926682098511</v>
      </c>
      <c r="N115" s="181">
        <f t="shared" si="82"/>
        <v>8.4061208278461912</v>
      </c>
    </row>
    <row r="116" spans="1:14" x14ac:dyDescent="0.25">
      <c r="A116" s="180" t="s">
        <v>257</v>
      </c>
      <c r="B116" s="187" t="s">
        <v>227</v>
      </c>
      <c r="C116" s="181">
        <f t="shared" ref="C116:N116" si="83">IF($C12&lt;0.775,C106*C102-C107*C103+C108*C104,C109*C103-C110*C104+C106*C105)</f>
        <v>0.36177994416797787</v>
      </c>
      <c r="D116" s="181">
        <f t="shared" si="83"/>
        <v>0.36177994416797787</v>
      </c>
      <c r="E116" s="181">
        <f t="shared" si="83"/>
        <v>0.36177994416797787</v>
      </c>
      <c r="F116" s="181">
        <f t="shared" si="83"/>
        <v>0.36177994416797787</v>
      </c>
      <c r="G116" s="181">
        <f t="shared" si="83"/>
        <v>0.36177994416797787</v>
      </c>
      <c r="H116" s="181">
        <f t="shared" si="83"/>
        <v>0.37873525352126913</v>
      </c>
      <c r="I116" s="181">
        <f t="shared" si="83"/>
        <v>0.42643694721900116</v>
      </c>
      <c r="J116" s="181">
        <f t="shared" si="83"/>
        <v>0.521755939835715</v>
      </c>
      <c r="K116" s="181">
        <f t="shared" si="83"/>
        <v>0.52300993384620764</v>
      </c>
      <c r="L116" s="181">
        <f t="shared" si="83"/>
        <v>0.52427004372759478</v>
      </c>
      <c r="M116" s="181">
        <f t="shared" si="83"/>
        <v>0.5952534898606674</v>
      </c>
      <c r="N116" s="181">
        <f t="shared" si="83"/>
        <v>7.6051084937342459</v>
      </c>
    </row>
    <row r="117" spans="1:14" x14ac:dyDescent="0.25">
      <c r="A117" s="171" t="s">
        <v>131</v>
      </c>
      <c r="B117" s="171" t="s">
        <v>122</v>
      </c>
      <c r="C117" s="184">
        <f t="shared" ref="C117:N117" si="84">IF($C13&gt;5.25,IF($C13&lt;5.75,C112*($C13-5.5)*($C13-6)/0.5-C113*($C13-5)*($C13-6)/0.25+C114*($C13-5)*($C13-5.5)/0.5,IF($C13&lt;6.25,C113*($C13-6)*($C13-6.5)/0.5-C114*($C13-5.5)*($C13-6.5)/0.25+C115*($C13-5.5)*($C13-6)/0.5,C114*($C13-6.5)*($C13-7)/0.5-C115*($C13-6)*($C13-7)/0.25+C116*($C13-6)*($C13-6.5)/0.5)),C111*($C13-5)*($C13-5.5)/0.5-C112*($C13-4.5)*($C13-5.5)/0.25+C113*($C13-4.5)*($C13-5)/0.5)</f>
        <v>0.54898284433744049</v>
      </c>
      <c r="D117" s="184">
        <f t="shared" si="84"/>
        <v>0.54898284433744049</v>
      </c>
      <c r="E117" s="184">
        <f t="shared" si="84"/>
        <v>0.54898284433744049</v>
      </c>
      <c r="F117" s="184">
        <f t="shared" si="84"/>
        <v>0.54898284433744049</v>
      </c>
      <c r="G117" s="184">
        <f t="shared" si="84"/>
        <v>0.54898284433744049</v>
      </c>
      <c r="H117" s="184">
        <f t="shared" si="84"/>
        <v>0.58878002115982775</v>
      </c>
      <c r="I117" s="184">
        <f t="shared" si="84"/>
        <v>0.67398309039995741</v>
      </c>
      <c r="J117" s="184">
        <f t="shared" si="84"/>
        <v>0.83312050901618795</v>
      </c>
      <c r="K117" s="184">
        <f t="shared" si="84"/>
        <v>0.83514347646918152</v>
      </c>
      <c r="L117" s="184">
        <f t="shared" si="84"/>
        <v>0.83717450170839092</v>
      </c>
      <c r="M117" s="184">
        <f t="shared" si="84"/>
        <v>0.94882238541334141</v>
      </c>
      <c r="N117" s="184">
        <f t="shared" si="84"/>
        <v>18.780246669136186</v>
      </c>
    </row>
    <row r="118" spans="1:14" x14ac:dyDescent="0.25">
      <c r="A118" s="168"/>
      <c r="B118" s="169" t="s">
        <v>123</v>
      </c>
      <c r="C118" s="167">
        <f t="shared" ref="C118:N118" si="85">C22</f>
        <v>0.12</v>
      </c>
      <c r="D118" s="167">
        <f t="shared" si="85"/>
        <v>5.323188727135366E-2</v>
      </c>
      <c r="E118" s="167">
        <f t="shared" si="85"/>
        <v>7.2947401075558735E-2</v>
      </c>
      <c r="F118" s="167">
        <f t="shared" si="85"/>
        <v>9.2662914879763802E-2</v>
      </c>
      <c r="G118" s="167">
        <f t="shared" si="85"/>
        <v>0.11237842868396887</v>
      </c>
      <c r="H118" s="167">
        <f t="shared" si="85"/>
        <v>0.13209394248817394</v>
      </c>
      <c r="I118" s="167">
        <f t="shared" si="85"/>
        <v>0.15180945629237902</v>
      </c>
      <c r="J118" s="167">
        <f t="shared" si="85"/>
        <v>0.17132781495854202</v>
      </c>
      <c r="K118" s="167">
        <f t="shared" si="85"/>
        <v>0.17152497009658407</v>
      </c>
      <c r="L118" s="167">
        <f t="shared" si="85"/>
        <v>0.17172212523462613</v>
      </c>
      <c r="M118" s="167">
        <f t="shared" si="85"/>
        <v>0.18157988213672865</v>
      </c>
      <c r="N118" s="167">
        <f t="shared" si="85"/>
        <v>0.32</v>
      </c>
    </row>
    <row r="119" spans="1:14" x14ac:dyDescent="0.25">
      <c r="A119" s="168"/>
      <c r="B119" s="169" t="s">
        <v>165</v>
      </c>
      <c r="C119" s="167">
        <f t="shared" ref="C119:N119" si="86">C55+C57+C59+C63</f>
        <v>0.62869910997925382</v>
      </c>
      <c r="D119" s="167">
        <f t="shared" si="86"/>
        <v>0.52229251996163717</v>
      </c>
      <c r="E119" s="167">
        <f t="shared" si="86"/>
        <v>0.54035534543976715</v>
      </c>
      <c r="F119" s="167">
        <f t="shared" si="86"/>
        <v>0.56758354000178068</v>
      </c>
      <c r="G119" s="167">
        <f t="shared" si="86"/>
        <v>0.6081864072540184</v>
      </c>
      <c r="H119" s="167">
        <f t="shared" si="86"/>
        <v>0.6683496663392009</v>
      </c>
      <c r="I119" s="167">
        <f t="shared" si="86"/>
        <v>0.75744135379953037</v>
      </c>
      <c r="J119" s="167">
        <f t="shared" si="86"/>
        <v>0.88862791797319374</v>
      </c>
      <c r="K119" s="167">
        <f t="shared" si="86"/>
        <v>0.89024152274060142</v>
      </c>
      <c r="L119" s="167">
        <f t="shared" si="86"/>
        <v>0.89186181070803616</v>
      </c>
      <c r="M119" s="167">
        <f t="shared" si="86"/>
        <v>0.98213558235527587</v>
      </c>
      <c r="N119" s="167">
        <f t="shared" si="86"/>
        <v>12.090393063862917</v>
      </c>
    </row>
    <row r="120" spans="1:14" x14ac:dyDescent="0.25">
      <c r="A120" s="168"/>
      <c r="B120" s="169" t="s">
        <v>166</v>
      </c>
      <c r="C120" s="167">
        <f t="shared" ref="C120:N120" si="87">C119-C117</f>
        <v>7.9716265641813333E-2</v>
      </c>
      <c r="D120" s="167">
        <f t="shared" si="87"/>
        <v>-2.669032437580332E-2</v>
      </c>
      <c r="E120" s="167">
        <f t="shared" si="87"/>
        <v>-8.6274988976733358E-3</v>
      </c>
      <c r="F120" s="167">
        <f t="shared" si="87"/>
        <v>1.8600695664340194E-2</v>
      </c>
      <c r="G120" s="167">
        <f t="shared" si="87"/>
        <v>5.9203562916577912E-2</v>
      </c>
      <c r="H120" s="167">
        <f t="shared" si="87"/>
        <v>7.956964517937315E-2</v>
      </c>
      <c r="I120" s="167">
        <f t="shared" si="87"/>
        <v>8.3458263399572963E-2</v>
      </c>
      <c r="J120" s="167">
        <f t="shared" si="87"/>
        <v>5.5507408957005788E-2</v>
      </c>
      <c r="K120" s="167">
        <f t="shared" si="87"/>
        <v>5.5098046271419898E-2</v>
      </c>
      <c r="L120" s="167">
        <f t="shared" si="87"/>
        <v>5.4687308999645245E-2</v>
      </c>
      <c r="M120" s="167">
        <f t="shared" si="87"/>
        <v>3.3313196941934464E-2</v>
      </c>
      <c r="N120" s="167">
        <f t="shared" si="87"/>
        <v>-6.6898536052732691</v>
      </c>
    </row>
  </sheetData>
  <sheetProtection password="CC7C" sheet="1" objects="1" scenarios="1"/>
  <phoneticPr fontId="2" type="noConversion"/>
  <dataValidations count="1">
    <dataValidation type="whole" allowBlank="1" showInputMessage="1" showErrorMessage="1" error="Value to be either 1 or 2" sqref="K14">
      <formula1>1</formula1>
      <formula2>3</formula2>
    </dataValidation>
  </dataValidations>
  <pageMargins left="0.75" right="0.75" top="1" bottom="1" header="0" footer="0"/>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AA120"/>
  <sheetViews>
    <sheetView topLeftCell="A18" workbookViewId="0">
      <selection activeCell="C27" sqref="C27"/>
    </sheetView>
  </sheetViews>
  <sheetFormatPr defaultRowHeight="13.2" x14ac:dyDescent="0.25"/>
  <cols>
    <col min="1" max="1" width="27.44140625" customWidth="1"/>
    <col min="2" max="14" width="7.77734375" customWidth="1"/>
  </cols>
  <sheetData>
    <row r="1" spans="1:14" ht="21.6" thickBot="1" x14ac:dyDescent="0.45">
      <c r="A1" s="254" t="s">
        <v>370</v>
      </c>
      <c r="B1" s="7"/>
      <c r="C1" s="7"/>
      <c r="D1" s="7"/>
      <c r="E1" s="6"/>
      <c r="F1" s="7"/>
      <c r="G1" s="7"/>
      <c r="H1" s="255"/>
      <c r="I1" s="256"/>
      <c r="J1" s="257"/>
      <c r="K1" s="193"/>
      <c r="L1" s="257"/>
      <c r="M1" s="257"/>
      <c r="N1" s="230"/>
    </row>
    <row r="2" spans="1:14" ht="13.8" thickTop="1" x14ac:dyDescent="0.25">
      <c r="A2" s="201" t="s">
        <v>8</v>
      </c>
      <c r="B2" s="11"/>
      <c r="C2" s="11"/>
      <c r="D2" s="60"/>
      <c r="E2" s="98"/>
      <c r="F2" s="98"/>
      <c r="G2" s="11"/>
      <c r="H2" s="11"/>
      <c r="I2" s="12"/>
      <c r="J2" s="13" t="s">
        <v>9</v>
      </c>
      <c r="K2" s="14"/>
      <c r="L2" s="11"/>
      <c r="M2" s="11"/>
      <c r="N2" s="202"/>
    </row>
    <row r="3" spans="1:14" x14ac:dyDescent="0.25">
      <c r="A3" s="203" t="s">
        <v>10</v>
      </c>
      <c r="B3" s="16" t="s">
        <v>11</v>
      </c>
      <c r="C3" s="17">
        <v>1.0249999999999999</v>
      </c>
      <c r="D3" s="101"/>
      <c r="E3" s="79"/>
      <c r="F3" s="102"/>
      <c r="G3" s="18" t="s">
        <v>12</v>
      </c>
      <c r="H3" s="18"/>
      <c r="I3" s="18"/>
      <c r="J3" s="70">
        <v>1</v>
      </c>
      <c r="K3" s="23">
        <f>IF(J3=1,IF(C17=1,0.7*C73-0.45+0.08*C13,IF(C16=1,C74,G73)),J3)</f>
        <v>0.25893039851908317</v>
      </c>
      <c r="L3" s="475"/>
      <c r="M3" s="78"/>
      <c r="N3" s="206"/>
    </row>
    <row r="4" spans="1:14" x14ac:dyDescent="0.25">
      <c r="A4" s="203" t="s">
        <v>13</v>
      </c>
      <c r="B4" s="16" t="s">
        <v>14</v>
      </c>
      <c r="C4" s="20">
        <f>'Ship data'!D6</f>
        <v>69.39316773984396</v>
      </c>
      <c r="D4" s="103"/>
      <c r="E4" s="79"/>
      <c r="F4" s="102"/>
      <c r="G4" s="18" t="s">
        <v>15</v>
      </c>
      <c r="H4" s="18"/>
      <c r="I4" s="18"/>
      <c r="J4" s="71">
        <v>1</v>
      </c>
      <c r="K4" s="19">
        <f>IF(J4=1,IF(C17=1,E73-0.26+0.04*C13,IF(C16=1,E74,G74)),J4)</f>
        <v>0.2282923338706685</v>
      </c>
      <c r="L4" s="78"/>
      <c r="M4" s="78"/>
      <c r="N4" s="206"/>
    </row>
    <row r="5" spans="1:14" x14ac:dyDescent="0.25">
      <c r="A5" s="203" t="s">
        <v>16</v>
      </c>
      <c r="B5" s="16" t="s">
        <v>14</v>
      </c>
      <c r="C5" s="20">
        <f>'Ship data'!D7</f>
        <v>12.098035159762397</v>
      </c>
      <c r="D5" s="103"/>
      <c r="E5" s="79"/>
      <c r="F5" s="102"/>
      <c r="G5" s="18" t="s">
        <v>17</v>
      </c>
      <c r="H5" s="18"/>
      <c r="I5" s="18"/>
      <c r="J5" s="193"/>
      <c r="K5" s="19">
        <f>(1-K4)/(1-K3)</f>
        <v>1.0413430325399788</v>
      </c>
      <c r="L5" s="78"/>
      <c r="M5" s="78"/>
      <c r="N5" s="206"/>
    </row>
    <row r="6" spans="1:14" x14ac:dyDescent="0.25">
      <c r="A6" s="203" t="s">
        <v>18</v>
      </c>
      <c r="B6" s="16" t="s">
        <v>14</v>
      </c>
      <c r="C6" s="20">
        <f>'Ship data'!D11</f>
        <v>4.2215265052210178</v>
      </c>
      <c r="D6" s="104"/>
      <c r="E6" s="105"/>
      <c r="F6" s="102"/>
      <c r="G6" s="18" t="s">
        <v>19</v>
      </c>
      <c r="H6" s="18"/>
      <c r="I6" s="18"/>
      <c r="J6" s="193"/>
      <c r="K6" s="19">
        <f>'Ship data'!D49/100</f>
        <v>0.98</v>
      </c>
      <c r="L6" s="78"/>
      <c r="M6" s="78"/>
      <c r="N6" s="206"/>
    </row>
    <row r="7" spans="1:14" x14ac:dyDescent="0.25">
      <c r="A7" s="203" t="s">
        <v>20</v>
      </c>
      <c r="B7" s="16" t="s">
        <v>21</v>
      </c>
      <c r="C7" s="24">
        <f>'Ship data'!D20</f>
        <v>2820.9727921305375</v>
      </c>
      <c r="D7" s="103"/>
      <c r="E7" s="79"/>
      <c r="F7" s="102"/>
      <c r="G7" s="18" t="s">
        <v>22</v>
      </c>
      <c r="H7" s="18"/>
      <c r="I7" s="18"/>
      <c r="J7" s="193"/>
      <c r="K7" s="25">
        <v>1</v>
      </c>
      <c r="L7" s="78"/>
      <c r="M7" s="78"/>
      <c r="N7" s="206"/>
    </row>
    <row r="8" spans="1:14" x14ac:dyDescent="0.25">
      <c r="A8" s="203" t="s">
        <v>23</v>
      </c>
      <c r="B8" s="16" t="s">
        <v>24</v>
      </c>
      <c r="C8" s="24">
        <f>'Ship data'!D33</f>
        <v>1192.1829274703587</v>
      </c>
      <c r="D8" s="103"/>
      <c r="E8" s="79"/>
      <c r="F8" s="102"/>
      <c r="G8" s="27" t="s">
        <v>25</v>
      </c>
      <c r="H8" s="28"/>
      <c r="I8" s="28"/>
      <c r="J8" s="28"/>
      <c r="K8" s="462"/>
    </row>
    <row r="9" spans="1:14" x14ac:dyDescent="0.25">
      <c r="A9" s="203" t="s">
        <v>26</v>
      </c>
      <c r="B9" s="16" t="s">
        <v>24</v>
      </c>
      <c r="C9" s="24">
        <f>IF(C8=0,(0.99+(C16-1)*0.05)*(C7/C3/C6+1.9*C4*C6),C8)</f>
        <v>1192.1829274703587</v>
      </c>
      <c r="D9" s="104"/>
      <c r="E9" s="79"/>
      <c r="F9" s="102"/>
      <c r="G9" s="30" t="s">
        <v>27</v>
      </c>
      <c r="H9" s="30"/>
      <c r="I9" s="30"/>
      <c r="J9" s="31">
        <v>0.32</v>
      </c>
      <c r="K9" s="32" t="str">
        <f>IF(J9&gt;0.32,"Too high"," ")</f>
        <v xml:space="preserve"> </v>
      </c>
      <c r="L9" s="78"/>
      <c r="M9" s="78"/>
      <c r="N9" s="206"/>
    </row>
    <row r="10" spans="1:14" x14ac:dyDescent="0.25">
      <c r="A10" s="203" t="s">
        <v>4</v>
      </c>
      <c r="B10" s="16" t="s">
        <v>28</v>
      </c>
      <c r="C10" s="17">
        <f>'Ship data'!D28</f>
        <v>0.9946821399725172</v>
      </c>
      <c r="D10" s="103"/>
      <c r="E10" s="79"/>
      <c r="F10" s="102"/>
      <c r="G10" s="33" t="s">
        <v>29</v>
      </c>
      <c r="H10" s="33"/>
      <c r="I10" s="33"/>
      <c r="J10" s="21">
        <v>1</v>
      </c>
      <c r="K10" s="34" t="str">
        <f>IF(J10&lt;0.9,"Too low"," ")</f>
        <v xml:space="preserve"> </v>
      </c>
      <c r="L10" s="78"/>
      <c r="M10" s="78"/>
      <c r="N10" s="206"/>
    </row>
    <row r="11" spans="1:14" x14ac:dyDescent="0.25">
      <c r="A11" s="203" t="s">
        <v>30</v>
      </c>
      <c r="B11" s="16" t="s">
        <v>28</v>
      </c>
      <c r="C11" s="17">
        <f>C7/C3/C4/C5/C6</f>
        <v>0.77655810396006675</v>
      </c>
      <c r="D11" s="103"/>
      <c r="E11" s="79"/>
      <c r="F11" s="102"/>
      <c r="G11" s="63" t="s">
        <v>124</v>
      </c>
      <c r="H11" s="63"/>
      <c r="I11" s="464"/>
      <c r="J11" s="465"/>
      <c r="K11" s="236">
        <f>'Ship data'!D39</f>
        <v>15</v>
      </c>
      <c r="L11" s="78"/>
      <c r="M11" s="78"/>
      <c r="N11" s="206"/>
    </row>
    <row r="12" spans="1:14" x14ac:dyDescent="0.25">
      <c r="A12" s="203" t="s">
        <v>31</v>
      </c>
      <c r="B12" s="16" t="s">
        <v>28</v>
      </c>
      <c r="C12" s="17">
        <f>C11/C10</f>
        <v>0.7807098094487982</v>
      </c>
      <c r="D12" s="106"/>
      <c r="E12" s="78"/>
      <c r="F12" s="102"/>
      <c r="G12" s="66" t="s">
        <v>125</v>
      </c>
      <c r="H12" s="65"/>
      <c r="I12" s="467"/>
      <c r="J12" s="468"/>
      <c r="K12" s="469">
        <v>15</v>
      </c>
      <c r="L12" s="78"/>
      <c r="M12" s="78"/>
      <c r="N12" s="206"/>
    </row>
    <row r="13" spans="1:14" x14ac:dyDescent="0.25">
      <c r="A13" s="203" t="s">
        <v>32</v>
      </c>
      <c r="B13" s="16" t="s">
        <v>28</v>
      </c>
      <c r="C13" s="20">
        <f>C4/(C7/C3)^(1/3)</f>
        <v>4.9517461101891573</v>
      </c>
      <c r="D13" s="106" t="str">
        <f>IF(OR(C13&lt;4,C13&gt;9)," Warning: Length-displ. ratio out of range !","")</f>
        <v/>
      </c>
      <c r="E13" s="78"/>
      <c r="F13" s="102"/>
      <c r="G13" s="66" t="s">
        <v>126</v>
      </c>
      <c r="H13" s="66"/>
      <c r="I13" s="467"/>
      <c r="J13" s="468"/>
      <c r="K13" s="469">
        <v>1</v>
      </c>
      <c r="L13" s="78"/>
      <c r="M13" s="78"/>
      <c r="N13" s="206"/>
    </row>
    <row r="14" spans="1:14" x14ac:dyDescent="0.25">
      <c r="A14" s="203" t="s">
        <v>33</v>
      </c>
      <c r="B14" s="16" t="s">
        <v>28</v>
      </c>
      <c r="C14" s="36">
        <v>0</v>
      </c>
      <c r="D14" s="106"/>
      <c r="E14" s="78"/>
      <c r="F14" s="102"/>
      <c r="G14" s="66" t="s">
        <v>130</v>
      </c>
      <c r="H14" s="66"/>
      <c r="I14" s="467"/>
      <c r="J14" s="468"/>
      <c r="K14" s="236">
        <f>'Ship data'!D68</f>
        <v>1</v>
      </c>
      <c r="L14" s="574"/>
      <c r="M14" s="575" t="s">
        <v>262</v>
      </c>
      <c r="N14" s="576">
        <f>'Ship data'!D40</f>
        <v>0.85</v>
      </c>
    </row>
    <row r="15" spans="1:14" x14ac:dyDescent="0.25">
      <c r="A15" s="203" t="s">
        <v>34</v>
      </c>
      <c r="B15" s="16" t="s">
        <v>28</v>
      </c>
      <c r="C15" s="36">
        <v>0</v>
      </c>
      <c r="D15" s="207"/>
      <c r="E15" s="79"/>
      <c r="F15" s="79"/>
      <c r="G15" s="406" t="s">
        <v>397</v>
      </c>
      <c r="H15" s="407"/>
      <c r="I15" s="407"/>
      <c r="J15" s="407"/>
      <c r="K15" s="470">
        <f>'Ship data'!D50</f>
        <v>0</v>
      </c>
      <c r="L15" s="574"/>
      <c r="M15" s="577" t="s">
        <v>487</v>
      </c>
      <c r="N15" s="578">
        <f>'Ship data'!D42</f>
        <v>160.86052752684637</v>
      </c>
    </row>
    <row r="16" spans="1:14" x14ac:dyDescent="0.25">
      <c r="A16" s="203" t="s">
        <v>35</v>
      </c>
      <c r="B16" s="16" t="s">
        <v>28</v>
      </c>
      <c r="C16" s="26">
        <v>1</v>
      </c>
      <c r="D16" s="209" t="str">
        <f>IF(OR(C4/C5&lt;3.5,C4/C5&gt;10)," Warning: L/B out of range !","")</f>
        <v/>
      </c>
      <c r="E16" s="79"/>
      <c r="F16" s="79"/>
      <c r="G16" s="352"/>
      <c r="H16" s="78"/>
      <c r="I16" s="108"/>
      <c r="J16" s="108"/>
      <c r="K16" s="108"/>
      <c r="L16" s="579" t="s">
        <v>488</v>
      </c>
      <c r="M16" s="580"/>
      <c r="N16" s="581">
        <f>'Ship data'!D43</f>
        <v>0</v>
      </c>
    </row>
    <row r="17" spans="1:27" x14ac:dyDescent="0.25">
      <c r="A17" s="203" t="s">
        <v>36</v>
      </c>
      <c r="B17" s="16" t="s">
        <v>28</v>
      </c>
      <c r="C17" s="26">
        <v>1</v>
      </c>
      <c r="D17" s="209" t="str">
        <f>IF(C5/C6&gt;6.5,"  Warning: B/T out of range !","")</f>
        <v/>
      </c>
      <c r="E17" s="79"/>
      <c r="F17" s="79"/>
      <c r="G17" s="619"/>
      <c r="H17" s="78"/>
      <c r="I17" s="108"/>
      <c r="J17" s="108"/>
      <c r="K17" s="108"/>
      <c r="L17" s="582" t="s">
        <v>261</v>
      </c>
      <c r="M17" s="583"/>
      <c r="N17" s="584">
        <f>IF(N16=0,0,MAX(0,0.18+0.464*N16+0.4034113*N16^2-0.0285278*N16^3+0.00097424*N16^4))</f>
        <v>0</v>
      </c>
    </row>
    <row r="18" spans="1:27" x14ac:dyDescent="0.25">
      <c r="A18" s="203" t="s">
        <v>37</v>
      </c>
      <c r="B18" s="16" t="s">
        <v>14</v>
      </c>
      <c r="C18" s="20">
        <f>'Ship data'!D70</f>
        <v>3.0735094775088392</v>
      </c>
      <c r="D18" s="590">
        <f>C18/C6</f>
        <v>0.72805642075387744</v>
      </c>
      <c r="E18" s="591" t="s">
        <v>163</v>
      </c>
      <c r="F18" s="79"/>
      <c r="G18" s="619"/>
      <c r="H18" s="620"/>
      <c r="I18" s="621" t="s">
        <v>167</v>
      </c>
      <c r="J18" s="622">
        <f>'Ship data'!D35</f>
        <v>13.172490532473214</v>
      </c>
      <c r="K18" s="78"/>
      <c r="L18" s="582" t="s">
        <v>489</v>
      </c>
      <c r="M18" s="585"/>
      <c r="N18" s="586">
        <f>MAX(0,0.01666667*N16^3-0.23571429*N16^2+1.8333*N16-3.6)</f>
        <v>0</v>
      </c>
    </row>
    <row r="19" spans="1:27" ht="13.8" thickBot="1" x14ac:dyDescent="0.3">
      <c r="A19" s="210" t="s">
        <v>38</v>
      </c>
      <c r="B19" s="37" t="s">
        <v>28</v>
      </c>
      <c r="C19" s="24">
        <v>4</v>
      </c>
      <c r="D19" s="78"/>
      <c r="E19" s="208"/>
      <c r="F19" s="208"/>
      <c r="G19" s="78"/>
      <c r="H19" s="78"/>
      <c r="I19" s="78"/>
      <c r="J19" s="78"/>
      <c r="K19" s="78"/>
      <c r="L19" s="78"/>
      <c r="M19" s="78"/>
      <c r="N19" s="206"/>
    </row>
    <row r="20" spans="1:27" ht="14.4" thickTop="1" thickBot="1" x14ac:dyDescent="0.3">
      <c r="A20" s="201" t="s">
        <v>39</v>
      </c>
      <c r="B20" s="38"/>
      <c r="C20" s="11"/>
      <c r="D20" s="11"/>
      <c r="E20" s="11"/>
      <c r="F20" s="11"/>
      <c r="G20" s="11"/>
      <c r="H20" s="11"/>
      <c r="I20" s="11"/>
      <c r="J20" s="11"/>
      <c r="K20" s="11"/>
      <c r="L20" s="11"/>
      <c r="M20" s="11"/>
      <c r="N20" s="231"/>
    </row>
    <row r="21" spans="1:27" x14ac:dyDescent="0.25">
      <c r="A21" s="211" t="s">
        <v>40</v>
      </c>
      <c r="B21" s="608" t="s">
        <v>41</v>
      </c>
      <c r="C21" s="85">
        <f>(C22*(9.81*C4)^0.5)/0.5144</f>
        <v>6.0865773619557171</v>
      </c>
      <c r="D21" s="250">
        <f t="shared" ref="D21:J21" si="0">E21-0.5</f>
        <v>9.6724905324732138</v>
      </c>
      <c r="E21" s="250">
        <f t="shared" si="0"/>
        <v>10.172490532473214</v>
      </c>
      <c r="F21" s="250">
        <f t="shared" si="0"/>
        <v>10.672490532473214</v>
      </c>
      <c r="G21" s="250">
        <f t="shared" si="0"/>
        <v>11.172490532473214</v>
      </c>
      <c r="H21" s="250">
        <f t="shared" si="0"/>
        <v>11.672490532473214</v>
      </c>
      <c r="I21" s="250">
        <f t="shared" si="0"/>
        <v>12.172490532473214</v>
      </c>
      <c r="J21" s="250">
        <f t="shared" si="0"/>
        <v>12.672490532473214</v>
      </c>
      <c r="K21" s="603">
        <f>J18</f>
        <v>13.172490532473214</v>
      </c>
      <c r="L21" s="250">
        <f>K21+0.5</f>
        <v>13.672490532473214</v>
      </c>
      <c r="M21" s="626">
        <f>L21+0.5</f>
        <v>14.172490532473214</v>
      </c>
      <c r="N21" s="623">
        <f>N22*SQRT(9.81*C4)/0.5144</f>
        <v>16.230872965215244</v>
      </c>
    </row>
    <row r="22" spans="1:27" x14ac:dyDescent="0.25">
      <c r="A22" s="203" t="s">
        <v>42</v>
      </c>
      <c r="B22" s="354" t="s">
        <v>28</v>
      </c>
      <c r="C22" s="87">
        <v>0.12</v>
      </c>
      <c r="D22" s="19">
        <f t="shared" ref="D22:M22" si="1">D21*0.5144/SQRT(9.81*$C4)</f>
        <v>0.19069812061401845</v>
      </c>
      <c r="E22" s="19">
        <f t="shared" si="1"/>
        <v>0.200555877516121</v>
      </c>
      <c r="F22" s="19">
        <f t="shared" si="1"/>
        <v>0.21041363441822353</v>
      </c>
      <c r="G22" s="19">
        <f t="shared" si="1"/>
        <v>0.22027139132032608</v>
      </c>
      <c r="H22" s="19">
        <f t="shared" si="1"/>
        <v>0.23012914822242861</v>
      </c>
      <c r="I22" s="19">
        <f t="shared" si="1"/>
        <v>0.23998690512453114</v>
      </c>
      <c r="J22" s="19">
        <f t="shared" si="1"/>
        <v>0.24984466202663369</v>
      </c>
      <c r="K22" s="598">
        <f t="shared" si="1"/>
        <v>0.25970241892873619</v>
      </c>
      <c r="L22" s="19">
        <f t="shared" si="1"/>
        <v>0.26956017583083874</v>
      </c>
      <c r="M22" s="238">
        <f t="shared" si="1"/>
        <v>0.27941793273294124</v>
      </c>
      <c r="N22" s="353">
        <f>J9</f>
        <v>0.32</v>
      </c>
    </row>
    <row r="23" spans="1:27" x14ac:dyDescent="0.25">
      <c r="A23" s="203" t="s">
        <v>43</v>
      </c>
      <c r="B23" s="354" t="s">
        <v>28</v>
      </c>
      <c r="C23" s="87">
        <f t="shared" ref="C23:N23" si="2">75/(LOG10(C21*0.5144*$C4*1000000/((43.4233-31.38*$C3)*($K12+20)^(1.72*$C3-2.202)+4.7478-5.779*$C3))-2)^2</f>
        <v>1.9126129181791665</v>
      </c>
      <c r="D23" s="19">
        <f t="shared" si="2"/>
        <v>1.7954071605312594</v>
      </c>
      <c r="E23" s="19">
        <f t="shared" si="2"/>
        <v>1.7833076597966899</v>
      </c>
      <c r="F23" s="19">
        <f t="shared" si="2"/>
        <v>1.771902127866017</v>
      </c>
      <c r="G23" s="19">
        <f t="shared" si="2"/>
        <v>1.7611206080054687</v>
      </c>
      <c r="H23" s="19">
        <f t="shared" si="2"/>
        <v>1.7509029567807526</v>
      </c>
      <c r="I23" s="19">
        <f t="shared" si="2"/>
        <v>1.7411971132131978</v>
      </c>
      <c r="J23" s="19">
        <f t="shared" si="2"/>
        <v>1.7319577306290406</v>
      </c>
      <c r="K23" s="598">
        <f t="shared" si="2"/>
        <v>1.7231450841053335</v>
      </c>
      <c r="L23" s="19">
        <f t="shared" si="2"/>
        <v>1.714724189796593</v>
      </c>
      <c r="M23" s="238">
        <f t="shared" si="2"/>
        <v>1.7066640889162894</v>
      </c>
      <c r="N23" s="17">
        <f t="shared" si="2"/>
        <v>1.6767381901925182</v>
      </c>
    </row>
    <row r="24" spans="1:27" x14ac:dyDescent="0.25">
      <c r="A24" s="203" t="s">
        <v>44</v>
      </c>
      <c r="B24" s="354" t="s">
        <v>28</v>
      </c>
      <c r="C24" s="87">
        <f t="shared" ref="C24:M24" si="3">IF(C22&gt;0.12,C48,$C48+(C22-0.12)*2.5)</f>
        <v>0.6712373947960526</v>
      </c>
      <c r="D24" s="239">
        <f t="shared" si="3"/>
        <v>1.2368544009890621</v>
      </c>
      <c r="E24" s="239">
        <f t="shared" si="3"/>
        <v>1.3975738006717082</v>
      </c>
      <c r="F24" s="239">
        <f t="shared" si="3"/>
        <v>1.5919850195247027</v>
      </c>
      <c r="G24" s="239">
        <f t="shared" si="3"/>
        <v>1.8383614782841449</v>
      </c>
      <c r="H24" s="239">
        <f t="shared" si="3"/>
        <v>2.1678933327459027</v>
      </c>
      <c r="I24" s="239">
        <f t="shared" si="3"/>
        <v>2.629564877224785</v>
      </c>
      <c r="J24" s="239">
        <f t="shared" si="3"/>
        <v>3.2957842967730526</v>
      </c>
      <c r="K24" s="598">
        <f t="shared" si="3"/>
        <v>4.2687657681494695</v>
      </c>
      <c r="L24" s="239">
        <f t="shared" si="3"/>
        <v>5.687663909535396</v>
      </c>
      <c r="M24" s="240">
        <f t="shared" si="3"/>
        <v>7.7364605790086109</v>
      </c>
      <c r="N24" s="353">
        <f>N64+N65+N117</f>
        <v>29.028831316493815</v>
      </c>
    </row>
    <row r="25" spans="1:27" x14ac:dyDescent="0.25">
      <c r="A25" s="203" t="s">
        <v>45</v>
      </c>
      <c r="B25" s="354" t="s">
        <v>28</v>
      </c>
      <c r="C25" s="87">
        <f t="shared" ref="C25:N25" si="4">IF($C17=1,0,0.3)</f>
        <v>0</v>
      </c>
      <c r="D25" s="19">
        <f t="shared" si="4"/>
        <v>0</v>
      </c>
      <c r="E25" s="19">
        <f t="shared" si="4"/>
        <v>0</v>
      </c>
      <c r="F25" s="19">
        <f t="shared" si="4"/>
        <v>0</v>
      </c>
      <c r="G25" s="19">
        <f t="shared" si="4"/>
        <v>0</v>
      </c>
      <c r="H25" s="19">
        <f t="shared" si="4"/>
        <v>0</v>
      </c>
      <c r="I25" s="19">
        <f t="shared" si="4"/>
        <v>0</v>
      </c>
      <c r="J25" s="19">
        <f t="shared" si="4"/>
        <v>0</v>
      </c>
      <c r="K25" s="598">
        <f t="shared" si="4"/>
        <v>0</v>
      </c>
      <c r="L25" s="19">
        <f t="shared" si="4"/>
        <v>0</v>
      </c>
      <c r="M25" s="238">
        <f t="shared" si="4"/>
        <v>0</v>
      </c>
      <c r="N25" s="17">
        <f t="shared" si="4"/>
        <v>0</v>
      </c>
    </row>
    <row r="26" spans="1:27" x14ac:dyDescent="0.25">
      <c r="A26" s="203" t="s">
        <v>46</v>
      </c>
      <c r="B26" s="354" t="s">
        <v>28</v>
      </c>
      <c r="C26" s="87">
        <f t="shared" ref="C26:N26" si="5">$K13*MAX(-0.4,-0.1-1.6*C22)</f>
        <v>-0.29200000000000004</v>
      </c>
      <c r="D26" s="239">
        <f t="shared" si="5"/>
        <v>-0.4</v>
      </c>
      <c r="E26" s="239">
        <f t="shared" si="5"/>
        <v>-0.4</v>
      </c>
      <c r="F26" s="239">
        <f t="shared" si="5"/>
        <v>-0.4</v>
      </c>
      <c r="G26" s="239">
        <f t="shared" si="5"/>
        <v>-0.4</v>
      </c>
      <c r="H26" s="239">
        <f t="shared" si="5"/>
        <v>-0.4</v>
      </c>
      <c r="I26" s="239">
        <f t="shared" si="5"/>
        <v>-0.4</v>
      </c>
      <c r="J26" s="239">
        <f t="shared" si="5"/>
        <v>-0.4</v>
      </c>
      <c r="K26" s="598">
        <f t="shared" si="5"/>
        <v>-0.4</v>
      </c>
      <c r="L26" s="239">
        <f t="shared" si="5"/>
        <v>-0.4</v>
      </c>
      <c r="M26" s="240">
        <f t="shared" si="5"/>
        <v>-0.4</v>
      </c>
      <c r="N26" s="351">
        <f t="shared" si="5"/>
        <v>-0.4</v>
      </c>
    </row>
    <row r="27" spans="1:27" x14ac:dyDescent="0.25">
      <c r="A27" s="203" t="s">
        <v>47</v>
      </c>
      <c r="B27" s="354" t="s">
        <v>28</v>
      </c>
      <c r="C27" s="87">
        <f>IF('Ship data'!$C3&lt;55000,0.07,IF('Ship data'!$C3&lt;170000,0.05,0.04))</f>
        <v>7.0000000000000007E-2</v>
      </c>
      <c r="D27" s="239">
        <f>IF('Ship data'!$C3&lt;55000,0.07,IF('Ship data'!$C3&lt;170000,0.05,0.04))</f>
        <v>7.0000000000000007E-2</v>
      </c>
      <c r="E27" s="239">
        <f>IF('Ship data'!$C3&lt;55000,0.07,IF('Ship data'!$C3&lt;170000,0.05,0.04))</f>
        <v>7.0000000000000007E-2</v>
      </c>
      <c r="F27" s="239">
        <f>IF('Ship data'!$C3&lt;55000,0.07,IF('Ship data'!$C3&lt;170000,0.05,0.04))</f>
        <v>7.0000000000000007E-2</v>
      </c>
      <c r="G27" s="239">
        <f>IF('Ship data'!$C3&lt;55000,0.07,IF('Ship data'!$C3&lt;170000,0.05,0.04))</f>
        <v>7.0000000000000007E-2</v>
      </c>
      <c r="H27" s="239">
        <f>IF('Ship data'!$C3&lt;55000,0.07,IF('Ship data'!$C3&lt;170000,0.05,0.04))</f>
        <v>7.0000000000000007E-2</v>
      </c>
      <c r="I27" s="239">
        <f>IF('Ship data'!$C3&lt;55000,0.07,IF('Ship data'!$C3&lt;170000,0.05,0.04))</f>
        <v>7.0000000000000007E-2</v>
      </c>
      <c r="J27" s="239">
        <f>IF('Ship data'!$C3&lt;55000,0.07,IF('Ship data'!$C3&lt;170000,0.05,0.04))</f>
        <v>7.0000000000000007E-2</v>
      </c>
      <c r="K27" s="598">
        <f>IF('Ship data'!$C3&lt;55000,0.07,IF('Ship data'!$C3&lt;170000,0.05,0.04))</f>
        <v>7.0000000000000007E-2</v>
      </c>
      <c r="L27" s="239">
        <f>IF('Ship data'!$C3&lt;55000,0.07,IF('Ship data'!$C3&lt;170000,0.05,0.04))</f>
        <v>7.0000000000000007E-2</v>
      </c>
      <c r="M27" s="240">
        <f>IF('Ship data'!$C3&lt;55000,0.07,IF('Ship data'!$C3&lt;170000,0.05,0.04))</f>
        <v>7.0000000000000007E-2</v>
      </c>
      <c r="N27" s="351">
        <f>IF('Ship data'!$C3&lt;55000,0.07,IF('Ship data'!$C3&lt;170000,0.05,0.04))</f>
        <v>7.0000000000000007E-2</v>
      </c>
    </row>
    <row r="28" spans="1:27" x14ac:dyDescent="0.25">
      <c r="A28" s="203" t="s">
        <v>48</v>
      </c>
      <c r="B28" s="354" t="s">
        <v>28</v>
      </c>
      <c r="C28" s="87">
        <f>MAX(0.5*LOG10($C7)-0.1*(LOG10($C7))^2,'PS1'!$K19)</f>
        <v>0.53467419356899204</v>
      </c>
      <c r="D28" s="19">
        <f>MAX(0.5*LOG10($C7)-0.1*(LOG10($C7))^2,'PS1'!$K19)</f>
        <v>0.53467419356899204</v>
      </c>
      <c r="E28" s="19">
        <f>MAX(0.5*LOG10($C7)-0.1*(LOG10($C7))^2,'PS1'!$K19)</f>
        <v>0.53467419356899204</v>
      </c>
      <c r="F28" s="19">
        <f>MAX(0.5*LOG10($C7)-0.1*(LOG10($C7))^2,'PS1'!$K19)</f>
        <v>0.53467419356899204</v>
      </c>
      <c r="G28" s="19">
        <f>MAX(0.5*LOG10($C7)-0.1*(LOG10($C7))^2,'PS1'!$K19)</f>
        <v>0.53467419356899204</v>
      </c>
      <c r="H28" s="19">
        <f>MAX(0.5*LOG10($C7)-0.1*(LOG10($C7))^2,'PS1'!$K19)</f>
        <v>0.53467419356899204</v>
      </c>
      <c r="I28" s="19">
        <f>MAX(0.5*LOG10($C7)-0.1*(LOG10($C7))^2,'PS1'!$K19)</f>
        <v>0.53467419356899204</v>
      </c>
      <c r="J28" s="19">
        <f>MAX(0.5*LOG10($C7)-0.1*(LOG10($C7))^2,'PS1'!$K19)</f>
        <v>0.53467419356899204</v>
      </c>
      <c r="K28" s="598">
        <f>MAX(0.5*LOG10($C7)-0.1*(LOG10($C7))^2,'PS1'!$K19)</f>
        <v>0.53467419356899204</v>
      </c>
      <c r="L28" s="19">
        <f>MAX(0.5*LOG10($C7)-0.1*(LOG10($C7))^2,'PS1'!$K19)</f>
        <v>0.53467419356899204</v>
      </c>
      <c r="M28" s="238">
        <f>MAX(0.5*LOG10($C7)-0.1*(LOG10($C7))^2,'PS1'!$K19)</f>
        <v>0.53467419356899204</v>
      </c>
      <c r="N28" s="351">
        <f>MAX(0.5*LOG10($C7)-0.1*(LOG10($C7))^2,'PS1'!$K19)</f>
        <v>0.53467419356899204</v>
      </c>
    </row>
    <row r="29" spans="1:27" x14ac:dyDescent="0.25">
      <c r="A29" s="203" t="s">
        <v>49</v>
      </c>
      <c r="B29" s="354" t="s">
        <v>28</v>
      </c>
      <c r="C29" s="87">
        <f t="shared" ref="C29:N29" si="6">C23+C24+C25+C26+C27+C28</f>
        <v>2.8965245065442113</v>
      </c>
      <c r="D29" s="19">
        <f t="shared" si="6"/>
        <v>3.2369357550893136</v>
      </c>
      <c r="E29" s="19">
        <f t="shared" si="6"/>
        <v>3.3855556540373897</v>
      </c>
      <c r="F29" s="19">
        <f t="shared" si="6"/>
        <v>3.5685613409597119</v>
      </c>
      <c r="G29" s="19">
        <f t="shared" si="6"/>
        <v>3.8041562798586055</v>
      </c>
      <c r="H29" s="19">
        <f t="shared" si="6"/>
        <v>4.1234704830956472</v>
      </c>
      <c r="I29" s="19">
        <f t="shared" si="6"/>
        <v>4.5754361840069748</v>
      </c>
      <c r="J29" s="19">
        <f t="shared" si="6"/>
        <v>5.2324162209710847</v>
      </c>
      <c r="K29" s="598">
        <f t="shared" si="6"/>
        <v>6.1965850458237943</v>
      </c>
      <c r="L29" s="19">
        <f t="shared" si="6"/>
        <v>7.6070622929009808</v>
      </c>
      <c r="M29" s="238">
        <f t="shared" si="6"/>
        <v>9.647798861493893</v>
      </c>
      <c r="N29" s="353">
        <f t="shared" si="6"/>
        <v>30.910243700255329</v>
      </c>
    </row>
    <row r="30" spans="1:27" x14ac:dyDescent="0.25">
      <c r="A30" s="203" t="s">
        <v>50</v>
      </c>
      <c r="B30" s="354" t="s">
        <v>51</v>
      </c>
      <c r="C30" s="633">
        <f t="shared" ref="C30:N30" si="7">$K11</f>
        <v>15</v>
      </c>
      <c r="D30" s="241">
        <f t="shared" si="7"/>
        <v>15</v>
      </c>
      <c r="E30" s="241">
        <f t="shared" si="7"/>
        <v>15</v>
      </c>
      <c r="F30" s="241">
        <f t="shared" si="7"/>
        <v>15</v>
      </c>
      <c r="G30" s="241">
        <f t="shared" si="7"/>
        <v>15</v>
      </c>
      <c r="H30" s="241">
        <f t="shared" si="7"/>
        <v>15</v>
      </c>
      <c r="I30" s="241">
        <f t="shared" si="7"/>
        <v>15</v>
      </c>
      <c r="J30" s="241">
        <f t="shared" si="7"/>
        <v>15</v>
      </c>
      <c r="K30" s="599">
        <f t="shared" si="7"/>
        <v>15</v>
      </c>
      <c r="L30" s="241">
        <f t="shared" si="7"/>
        <v>15</v>
      </c>
      <c r="M30" s="242">
        <f t="shared" si="7"/>
        <v>15</v>
      </c>
      <c r="N30" s="24">
        <f t="shared" si="7"/>
        <v>15</v>
      </c>
    </row>
    <row r="31" spans="1:27" x14ac:dyDescent="0.25">
      <c r="A31" s="562" t="s">
        <v>263</v>
      </c>
      <c r="B31" s="563" t="s">
        <v>53</v>
      </c>
      <c r="C31" s="564">
        <f t="shared" ref="C31:M31" si="8">0.00062*$N15*$N14*((C21*0.5144+$N17)^2-(C21*0.5144)^2)</f>
        <v>0</v>
      </c>
      <c r="D31" s="565">
        <f t="shared" si="8"/>
        <v>0</v>
      </c>
      <c r="E31" s="565">
        <f t="shared" si="8"/>
        <v>0</v>
      </c>
      <c r="F31" s="565">
        <f t="shared" si="8"/>
        <v>0</v>
      </c>
      <c r="G31" s="565">
        <f t="shared" si="8"/>
        <v>0</v>
      </c>
      <c r="H31" s="565">
        <f t="shared" si="8"/>
        <v>0</v>
      </c>
      <c r="I31" s="565">
        <f t="shared" si="8"/>
        <v>0</v>
      </c>
      <c r="J31" s="565">
        <f t="shared" si="8"/>
        <v>0</v>
      </c>
      <c r="K31" s="565">
        <f t="shared" si="8"/>
        <v>0</v>
      </c>
      <c r="L31" s="565">
        <f t="shared" si="8"/>
        <v>0</v>
      </c>
      <c r="M31" s="627">
        <f t="shared" si="8"/>
        <v>0</v>
      </c>
      <c r="N31" s="605"/>
      <c r="O31" s="361"/>
      <c r="P31" s="361"/>
      <c r="Q31" s="361"/>
      <c r="R31" s="361"/>
      <c r="S31" s="361"/>
      <c r="T31" s="361"/>
      <c r="U31" s="361"/>
      <c r="V31" s="361"/>
      <c r="W31" s="361"/>
      <c r="X31" s="361"/>
      <c r="Y31" s="361"/>
      <c r="Z31" s="361"/>
      <c r="AA31" s="361"/>
    </row>
    <row r="32" spans="1:27" x14ac:dyDescent="0.25">
      <c r="A32" s="562" t="s">
        <v>485</v>
      </c>
      <c r="B32" s="563" t="s">
        <v>53</v>
      </c>
      <c r="C32" s="564">
        <f t="shared" ref="C32:J32" si="9">1336*(5.3+C21*0.5144)*($C5*$C6/$C4*1.02)^0.75*$N18^2/1000</f>
        <v>0</v>
      </c>
      <c r="D32" s="565">
        <f t="shared" si="9"/>
        <v>0</v>
      </c>
      <c r="E32" s="565">
        <f t="shared" si="9"/>
        <v>0</v>
      </c>
      <c r="F32" s="565">
        <f t="shared" si="9"/>
        <v>0</v>
      </c>
      <c r="G32" s="565">
        <f t="shared" si="9"/>
        <v>0</v>
      </c>
      <c r="H32" s="565">
        <f t="shared" si="9"/>
        <v>0</v>
      </c>
      <c r="I32" s="565">
        <f t="shared" si="9"/>
        <v>0</v>
      </c>
      <c r="J32" s="565">
        <f t="shared" si="9"/>
        <v>0</v>
      </c>
      <c r="K32" s="565">
        <f>1336*(5.3+K21*0.5144)*($C5*$C6/$C4*1.02)^0.75*$N18^2/1000</f>
        <v>0</v>
      </c>
      <c r="L32" s="565">
        <f>1336*(5.3+L21*0.5144)*($C5*$C6/$C4*1.02)^0.75*$N18^2/1000</f>
        <v>0</v>
      </c>
      <c r="M32" s="627">
        <f>1336*(5.3+M21*0.5144)*($C5*$C6/$C4*1.02)^0.75*$N18^2/1000</f>
        <v>0</v>
      </c>
      <c r="N32" s="606"/>
      <c r="P32" s="362"/>
      <c r="Q32" s="362"/>
      <c r="R32" s="362"/>
      <c r="S32" s="362"/>
      <c r="T32" s="362"/>
      <c r="U32" s="362"/>
      <c r="V32" s="362"/>
      <c r="W32" s="362"/>
      <c r="X32" s="362"/>
      <c r="Y32" s="362"/>
      <c r="Z32" s="362"/>
      <c r="AA32" s="361"/>
    </row>
    <row r="33" spans="1:14" x14ac:dyDescent="0.25">
      <c r="A33" s="562" t="s">
        <v>486</v>
      </c>
      <c r="B33" s="563" t="s">
        <v>53</v>
      </c>
      <c r="C33" s="564">
        <f>C31+C32</f>
        <v>0</v>
      </c>
      <c r="D33" s="565">
        <f t="shared" ref="D33:M33" si="10">D31+D32</f>
        <v>0</v>
      </c>
      <c r="E33" s="565">
        <f t="shared" si="10"/>
        <v>0</v>
      </c>
      <c r="F33" s="565">
        <f t="shared" si="10"/>
        <v>0</v>
      </c>
      <c r="G33" s="565">
        <f t="shared" si="10"/>
        <v>0</v>
      </c>
      <c r="H33" s="565">
        <f t="shared" si="10"/>
        <v>0</v>
      </c>
      <c r="I33" s="565">
        <f t="shared" si="10"/>
        <v>0</v>
      </c>
      <c r="J33" s="565">
        <f t="shared" si="10"/>
        <v>0</v>
      </c>
      <c r="K33" s="565">
        <f t="shared" si="10"/>
        <v>0</v>
      </c>
      <c r="L33" s="565">
        <f t="shared" si="10"/>
        <v>0</v>
      </c>
      <c r="M33" s="627">
        <f t="shared" si="10"/>
        <v>0</v>
      </c>
      <c r="N33" s="605"/>
    </row>
    <row r="34" spans="1:14" x14ac:dyDescent="0.25">
      <c r="A34" s="562" t="s">
        <v>486</v>
      </c>
      <c r="B34" s="563" t="s">
        <v>51</v>
      </c>
      <c r="C34" s="634">
        <f>C33*100/(C35-C33)</f>
        <v>0</v>
      </c>
      <c r="D34" s="568">
        <f t="shared" ref="D34:M34" si="11">D33*100/(D35-D33)</f>
        <v>0</v>
      </c>
      <c r="E34" s="568">
        <f t="shared" si="11"/>
        <v>0</v>
      </c>
      <c r="F34" s="568">
        <f t="shared" si="11"/>
        <v>0</v>
      </c>
      <c r="G34" s="568">
        <f t="shared" si="11"/>
        <v>0</v>
      </c>
      <c r="H34" s="568">
        <f t="shared" si="11"/>
        <v>0</v>
      </c>
      <c r="I34" s="568">
        <f t="shared" si="11"/>
        <v>0</v>
      </c>
      <c r="J34" s="568">
        <f t="shared" si="11"/>
        <v>0</v>
      </c>
      <c r="K34" s="568">
        <f t="shared" si="11"/>
        <v>0</v>
      </c>
      <c r="L34" s="568">
        <f t="shared" si="11"/>
        <v>0</v>
      </c>
      <c r="M34" s="628">
        <f t="shared" si="11"/>
        <v>0</v>
      </c>
      <c r="N34" s="607"/>
    </row>
    <row r="35" spans="1:14" x14ac:dyDescent="0.25">
      <c r="A35" s="569" t="s">
        <v>301</v>
      </c>
      <c r="B35" s="570" t="s">
        <v>53</v>
      </c>
      <c r="C35" s="631">
        <f>$C9*$C3*C29*C21^2*0.0001323*(1+C30/100)+C33</f>
        <v>19.950231899173101</v>
      </c>
      <c r="D35" s="597">
        <f t="shared" ref="D35:M35" si="12">$C9*$C3*D29*D21^2*0.0001323*(1+D30/100)+D33</f>
        <v>56.303469128857181</v>
      </c>
      <c r="E35" s="597">
        <f t="shared" si="12"/>
        <v>65.134186638746186</v>
      </c>
      <c r="F35" s="597">
        <f t="shared" si="12"/>
        <v>75.569956285573824</v>
      </c>
      <c r="G35" s="597">
        <f t="shared" si="12"/>
        <v>88.284159936297968</v>
      </c>
      <c r="H35" s="597">
        <f t="shared" si="12"/>
        <v>104.45143214412168</v>
      </c>
      <c r="I35" s="597">
        <f t="shared" si="12"/>
        <v>126.04216125985948</v>
      </c>
      <c r="J35" s="597">
        <f t="shared" si="12"/>
        <v>156.2250536278826</v>
      </c>
      <c r="K35" s="573">
        <f t="shared" si="12"/>
        <v>199.89993505015954</v>
      </c>
      <c r="L35" s="572">
        <f t="shared" si="12"/>
        <v>264.38492198580548</v>
      </c>
      <c r="M35" s="252">
        <f t="shared" si="12"/>
        <v>360.28405323376137</v>
      </c>
      <c r="N35" s="607"/>
    </row>
    <row r="36" spans="1:14" x14ac:dyDescent="0.25">
      <c r="A36" s="203" t="s">
        <v>55</v>
      </c>
      <c r="B36" s="354" t="s">
        <v>56</v>
      </c>
      <c r="C36" s="633">
        <f t="shared" ref="C36:M36" si="13">C35*C21*0.5144</f>
        <v>62.462887191380041</v>
      </c>
      <c r="D36" s="241">
        <f t="shared" si="13"/>
        <v>280.13955076529192</v>
      </c>
      <c r="E36" s="241">
        <f t="shared" si="13"/>
        <v>340.82955577718548</v>
      </c>
      <c r="F36" s="241">
        <f t="shared" si="13"/>
        <v>414.87370435776029</v>
      </c>
      <c r="G36" s="241">
        <f t="shared" si="13"/>
        <v>507.38046727902116</v>
      </c>
      <c r="H36" s="241">
        <f t="shared" si="13"/>
        <v>627.16077668316393</v>
      </c>
      <c r="I36" s="241">
        <f t="shared" si="13"/>
        <v>789.21666432469544</v>
      </c>
      <c r="J36" s="241">
        <f t="shared" si="13"/>
        <v>1018.3888079049274</v>
      </c>
      <c r="K36" s="599">
        <f t="shared" si="13"/>
        <v>1354.5077929723377</v>
      </c>
      <c r="L36" s="241">
        <f t="shared" si="13"/>
        <v>1859.4532963258234</v>
      </c>
      <c r="M36" s="242">
        <f t="shared" si="13"/>
        <v>2626.5893283300534</v>
      </c>
      <c r="N36" s="607"/>
    </row>
    <row r="37" spans="1:14" x14ac:dyDescent="0.25">
      <c r="A37" s="203" t="s">
        <v>57</v>
      </c>
      <c r="B37" s="354" t="s">
        <v>28</v>
      </c>
      <c r="C37" s="87">
        <f t="shared" ref="C37:M37" si="14">$K5*$K6*$K7*C41</f>
        <v>0.6457486573183</v>
      </c>
      <c r="D37" s="19">
        <f t="shared" si="14"/>
        <v>0.63180660148170786</v>
      </c>
      <c r="E37" s="19">
        <f t="shared" si="14"/>
        <v>0.62599880293845267</v>
      </c>
      <c r="F37" s="19">
        <f t="shared" si="14"/>
        <v>0.61906244111324837</v>
      </c>
      <c r="G37" s="19">
        <f t="shared" si="14"/>
        <v>0.61046060430269056</v>
      </c>
      <c r="H37" s="19">
        <f t="shared" si="14"/>
        <v>0.5993451741682666</v>
      </c>
      <c r="I37" s="19">
        <f t="shared" si="14"/>
        <v>0.58457353876833373</v>
      </c>
      <c r="J37" s="19">
        <f t="shared" si="14"/>
        <v>0.56484695113372951</v>
      </c>
      <c r="K37" s="598">
        <f t="shared" si="14"/>
        <v>0.53899871525292165</v>
      </c>
      <c r="L37" s="19">
        <f t="shared" si="14"/>
        <v>0.50637449881571051</v>
      </c>
      <c r="M37" s="238">
        <f t="shared" si="14"/>
        <v>0.46713422231195467</v>
      </c>
      <c r="N37" s="17"/>
    </row>
    <row r="38" spans="1:14" x14ac:dyDescent="0.25">
      <c r="A38" s="203" t="s">
        <v>58</v>
      </c>
      <c r="B38" s="354" t="s">
        <v>56</v>
      </c>
      <c r="C38" s="635">
        <f t="shared" ref="C38:M38" si="15">C36/C37</f>
        <v>96.729410868276986</v>
      </c>
      <c r="D38" s="245">
        <f t="shared" si="15"/>
        <v>443.39446613617338</v>
      </c>
      <c r="E38" s="245">
        <f t="shared" si="15"/>
        <v>544.45720052070988</v>
      </c>
      <c r="F38" s="245">
        <f t="shared" si="15"/>
        <v>670.16455337154798</v>
      </c>
      <c r="G38" s="245">
        <f t="shared" si="15"/>
        <v>831.14367037425041</v>
      </c>
      <c r="H38" s="245">
        <f t="shared" si="15"/>
        <v>1046.4099882901337</v>
      </c>
      <c r="I38" s="245">
        <f t="shared" si="15"/>
        <v>1350.0725092475691</v>
      </c>
      <c r="J38" s="245">
        <f t="shared" si="15"/>
        <v>1802.9464545411349</v>
      </c>
      <c r="K38" s="600">
        <f t="shared" si="15"/>
        <v>2513.0074611341952</v>
      </c>
      <c r="L38" s="245">
        <f t="shared" si="15"/>
        <v>3672.0911117653877</v>
      </c>
      <c r="M38" s="246">
        <f t="shared" si="15"/>
        <v>5622.7722202206869</v>
      </c>
      <c r="N38" s="624"/>
    </row>
    <row r="39" spans="1:14" x14ac:dyDescent="0.25">
      <c r="A39" s="203" t="s">
        <v>59</v>
      </c>
      <c r="B39" s="354" t="s">
        <v>28</v>
      </c>
      <c r="C39" s="630">
        <f t="shared" ref="C39:M39" si="16">2.54648*C35/(1-$K4)/$C17/$C3/(C42*$C18)^2/$K7</f>
        <v>1.2629210850523931</v>
      </c>
      <c r="D39" s="247">
        <f t="shared" si="16"/>
        <v>1.4113446673163461</v>
      </c>
      <c r="E39" s="247">
        <f t="shared" si="16"/>
        <v>1.4761448109422035</v>
      </c>
      <c r="F39" s="247">
        <f t="shared" si="16"/>
        <v>1.5559375902459922</v>
      </c>
      <c r="G39" s="247">
        <f t="shared" si="16"/>
        <v>1.6586599442929906</v>
      </c>
      <c r="H39" s="247">
        <f t="shared" si="16"/>
        <v>1.797884949679152</v>
      </c>
      <c r="I39" s="247">
        <f t="shared" si="16"/>
        <v>1.9949476750632391</v>
      </c>
      <c r="J39" s="247">
        <f t="shared" si="16"/>
        <v>2.2813992273514634</v>
      </c>
      <c r="K39" s="601">
        <f t="shared" si="16"/>
        <v>2.7017889515556122</v>
      </c>
      <c r="L39" s="247">
        <f t="shared" si="16"/>
        <v>3.3167747565421872</v>
      </c>
      <c r="M39" s="248">
        <f t="shared" si="16"/>
        <v>4.2065615460861761</v>
      </c>
      <c r="N39" s="20"/>
    </row>
    <row r="40" spans="1:14" x14ac:dyDescent="0.25">
      <c r="A40" s="203" t="s">
        <v>60</v>
      </c>
      <c r="B40" s="609" t="s">
        <v>28</v>
      </c>
      <c r="C40" s="630">
        <f t="shared" ref="C40:M40" si="17">(1.3+0.3*$C19)*C35/(1-$K4)/$C17/(99.6+$C3*9.81*0.65*$C18)/$C18^2+C75</f>
        <v>0.25716296316451276</v>
      </c>
      <c r="D40" s="247">
        <f t="shared" si="17"/>
        <v>0.36132509878146046</v>
      </c>
      <c r="E40" s="247">
        <f t="shared" si="17"/>
        <v>0.38662756054156289</v>
      </c>
      <c r="F40" s="247">
        <f t="shared" si="17"/>
        <v>0.41652894308838301</v>
      </c>
      <c r="G40" s="247">
        <f t="shared" si="17"/>
        <v>0.452958672758973</v>
      </c>
      <c r="H40" s="247">
        <f t="shared" si="17"/>
        <v>0.49928240425027376</v>
      </c>
      <c r="I40" s="247">
        <f t="shared" si="17"/>
        <v>0.56114584821300029</v>
      </c>
      <c r="J40" s="247">
        <f t="shared" si="17"/>
        <v>0.64762822963851496</v>
      </c>
      <c r="K40" s="601">
        <f t="shared" si="17"/>
        <v>0.77276891224178623</v>
      </c>
      <c r="L40" s="247">
        <f t="shared" si="17"/>
        <v>0.95753633507155289</v>
      </c>
      <c r="M40" s="248">
        <f t="shared" si="17"/>
        <v>1.2323140185962687</v>
      </c>
      <c r="N40" s="20"/>
    </row>
    <row r="41" spans="1:14" ht="13.8" thickBot="1" x14ac:dyDescent="0.3">
      <c r="A41" s="249" t="s">
        <v>61</v>
      </c>
      <c r="B41" s="610" t="s">
        <v>28</v>
      </c>
      <c r="C41" s="636">
        <f t="shared" ref="C41:M41" si="18">(1+$K15/100)*IF($K14=1,MAX(0.69,0.81-0.014*C39),IF(C39&lt;7,-0.000205*C39^4+0.00518*C39^3-0.0462*C39^2+0.177*C39+0.59,0.85))/(1+SQRT(1+C39))*2</f>
        <v>0.63276670679592484</v>
      </c>
      <c r="D41" s="268">
        <f t="shared" si="18"/>
        <v>0.61910493815311873</v>
      </c>
      <c r="E41" s="268">
        <f t="shared" si="18"/>
        <v>0.61341389796851908</v>
      </c>
      <c r="F41" s="268">
        <f t="shared" si="18"/>
        <v>0.60661698282276122</v>
      </c>
      <c r="G41" s="268">
        <f t="shared" si="18"/>
        <v>0.59818807493526149</v>
      </c>
      <c r="H41" s="268">
        <f t="shared" si="18"/>
        <v>0.5872961063015385</v>
      </c>
      <c r="I41" s="268">
        <f t="shared" si="18"/>
        <v>0.5728214357310687</v>
      </c>
      <c r="J41" s="268">
        <f t="shared" si="18"/>
        <v>0.5534914259007625</v>
      </c>
      <c r="K41" s="602">
        <f t="shared" si="18"/>
        <v>0.52816283572961642</v>
      </c>
      <c r="L41" s="268">
        <f t="shared" si="18"/>
        <v>0.49619448742131161</v>
      </c>
      <c r="M41" s="270">
        <f t="shared" si="18"/>
        <v>0.45774308646887574</v>
      </c>
      <c r="N41" s="625"/>
    </row>
    <row r="42" spans="1:14" ht="13.8" thickTop="1" x14ac:dyDescent="0.25">
      <c r="A42" s="50" t="s">
        <v>62</v>
      </c>
      <c r="B42" s="608" t="s">
        <v>63</v>
      </c>
      <c r="C42" s="629">
        <f t="shared" ref="C42:N42" si="19">C21*0.5144*(1-$K3)</f>
        <v>2.3202410454277516</v>
      </c>
      <c r="D42" s="637">
        <f t="shared" si="19"/>
        <v>3.6872133894548136</v>
      </c>
      <c r="E42" s="637">
        <f t="shared" si="19"/>
        <v>3.8778164909557056</v>
      </c>
      <c r="F42" s="637">
        <f t="shared" si="19"/>
        <v>4.0684195924565971</v>
      </c>
      <c r="G42" s="637">
        <f t="shared" si="19"/>
        <v>4.2590226939574896</v>
      </c>
      <c r="H42" s="637">
        <f t="shared" si="19"/>
        <v>4.4496257954583811</v>
      </c>
      <c r="I42" s="637">
        <f t="shared" si="19"/>
        <v>4.6402288969592727</v>
      </c>
      <c r="J42" s="637">
        <f t="shared" si="19"/>
        <v>4.8308319984601651</v>
      </c>
      <c r="K42" s="637">
        <f t="shared" si="19"/>
        <v>5.0214350999610557</v>
      </c>
      <c r="L42" s="637">
        <f t="shared" si="19"/>
        <v>5.2120382014619482</v>
      </c>
      <c r="M42" s="264">
        <f t="shared" si="19"/>
        <v>5.4026413029628397</v>
      </c>
      <c r="N42" s="72">
        <f t="shared" si="19"/>
        <v>6.1873094544740042</v>
      </c>
    </row>
    <row r="43" spans="1:14" x14ac:dyDescent="0.25">
      <c r="A43" s="35" t="s">
        <v>64</v>
      </c>
      <c r="B43" s="354" t="s">
        <v>63</v>
      </c>
      <c r="C43" s="630">
        <f t="shared" ref="C43:N43" si="20">C42*SQRT(1+C39)</f>
        <v>3.4903406059483246</v>
      </c>
      <c r="D43" s="247">
        <f t="shared" si="20"/>
        <v>5.7256911458834274</v>
      </c>
      <c r="E43" s="247">
        <f t="shared" si="20"/>
        <v>6.1020431311960692</v>
      </c>
      <c r="F43" s="247">
        <f t="shared" si="20"/>
        <v>6.5043044262233778</v>
      </c>
      <c r="G43" s="247">
        <f t="shared" si="20"/>
        <v>6.9445058874104575</v>
      </c>
      <c r="H43" s="247">
        <f t="shared" si="20"/>
        <v>7.4428354123033102</v>
      </c>
      <c r="I43" s="247">
        <f t="shared" si="20"/>
        <v>8.0303416727645374</v>
      </c>
      <c r="J43" s="247">
        <f t="shared" si="20"/>
        <v>8.7508747938113256</v>
      </c>
      <c r="K43" s="247">
        <f t="shared" si="20"/>
        <v>9.6612580334007117</v>
      </c>
      <c r="L43" s="247">
        <f t="shared" si="20"/>
        <v>10.828973336381482</v>
      </c>
      <c r="M43" s="248">
        <f t="shared" si="20"/>
        <v>12.327688094565076</v>
      </c>
      <c r="N43" s="69">
        <f t="shared" si="20"/>
        <v>6.1873094544740042</v>
      </c>
    </row>
    <row r="44" spans="1:14" x14ac:dyDescent="0.25">
      <c r="A44" s="35" t="s">
        <v>65</v>
      </c>
      <c r="B44" s="354" t="s">
        <v>63</v>
      </c>
      <c r="C44" s="630">
        <f t="shared" ref="C44:N44" si="21">C43-C42</f>
        <v>1.1700995605205731</v>
      </c>
      <c r="D44" s="247">
        <f t="shared" si="21"/>
        <v>2.0384777564286138</v>
      </c>
      <c r="E44" s="247">
        <f t="shared" si="21"/>
        <v>2.2242266402403637</v>
      </c>
      <c r="F44" s="247">
        <f t="shared" si="21"/>
        <v>2.4358848337667807</v>
      </c>
      <c r="G44" s="247">
        <f t="shared" si="21"/>
        <v>2.6854831934529679</v>
      </c>
      <c r="H44" s="247">
        <f t="shared" si="21"/>
        <v>2.9932096168449291</v>
      </c>
      <c r="I44" s="247">
        <f t="shared" si="21"/>
        <v>3.3901127758052647</v>
      </c>
      <c r="J44" s="247">
        <f t="shared" si="21"/>
        <v>3.9200427953511605</v>
      </c>
      <c r="K44" s="247">
        <f t="shared" si="21"/>
        <v>4.6398229334396559</v>
      </c>
      <c r="L44" s="247">
        <f t="shared" si="21"/>
        <v>5.616935134919534</v>
      </c>
      <c r="M44" s="248">
        <f t="shared" si="21"/>
        <v>6.9250467916022362</v>
      </c>
      <c r="N44" s="69">
        <f t="shared" si="21"/>
        <v>0</v>
      </c>
    </row>
    <row r="45" spans="1:14" x14ac:dyDescent="0.25">
      <c r="A45" s="35" t="s">
        <v>66</v>
      </c>
      <c r="B45" s="354" t="s">
        <v>28</v>
      </c>
      <c r="C45" s="630">
        <f t="shared" ref="C45:N45" si="22">C43/C42</f>
        <v>1.5043008625445886</v>
      </c>
      <c r="D45" s="247">
        <f t="shared" si="22"/>
        <v>1.5528504974131754</v>
      </c>
      <c r="E45" s="247">
        <f t="shared" si="22"/>
        <v>1.5735770749925799</v>
      </c>
      <c r="F45" s="247">
        <f t="shared" si="22"/>
        <v>1.5987299929149987</v>
      </c>
      <c r="G45" s="247">
        <f t="shared" si="22"/>
        <v>1.6305397708406228</v>
      </c>
      <c r="H45" s="247">
        <f t="shared" si="22"/>
        <v>1.6726879415118505</v>
      </c>
      <c r="I45" s="247">
        <f t="shared" si="22"/>
        <v>1.730591712410307</v>
      </c>
      <c r="J45" s="247">
        <f t="shared" si="22"/>
        <v>1.8114632834676676</v>
      </c>
      <c r="K45" s="247">
        <f t="shared" si="22"/>
        <v>1.9240033657859366</v>
      </c>
      <c r="L45" s="247">
        <f t="shared" si="22"/>
        <v>2.0776849512238829</v>
      </c>
      <c r="M45" s="248">
        <f t="shared" si="22"/>
        <v>2.2817891107826278</v>
      </c>
      <c r="N45" s="69">
        <f t="shared" si="22"/>
        <v>1</v>
      </c>
    </row>
    <row r="46" spans="1:14" x14ac:dyDescent="0.25">
      <c r="A46" s="35" t="s">
        <v>67</v>
      </c>
      <c r="B46" s="354" t="s">
        <v>63</v>
      </c>
      <c r="C46" s="630">
        <f t="shared" ref="C46:N46" si="23">C42+0.5*C44</f>
        <v>2.9052908256880379</v>
      </c>
      <c r="D46" s="247">
        <f t="shared" si="23"/>
        <v>4.7064522676691203</v>
      </c>
      <c r="E46" s="247">
        <f t="shared" si="23"/>
        <v>4.9899298110758874</v>
      </c>
      <c r="F46" s="247">
        <f t="shared" si="23"/>
        <v>5.286362009339987</v>
      </c>
      <c r="G46" s="247">
        <f t="shared" si="23"/>
        <v>5.601764290683974</v>
      </c>
      <c r="H46" s="247">
        <f t="shared" si="23"/>
        <v>5.9462306038808457</v>
      </c>
      <c r="I46" s="247">
        <f t="shared" si="23"/>
        <v>6.3352852848619055</v>
      </c>
      <c r="J46" s="247">
        <f t="shared" si="23"/>
        <v>6.7908533961357449</v>
      </c>
      <c r="K46" s="247">
        <f t="shared" si="23"/>
        <v>7.3413465666808833</v>
      </c>
      <c r="L46" s="247">
        <f t="shared" si="23"/>
        <v>8.0205057689217156</v>
      </c>
      <c r="M46" s="248">
        <f t="shared" si="23"/>
        <v>8.8651646987639587</v>
      </c>
      <c r="N46" s="69">
        <f t="shared" si="23"/>
        <v>6.1873094544740042</v>
      </c>
    </row>
    <row r="47" spans="1:14" x14ac:dyDescent="0.25">
      <c r="A47" s="35" t="s">
        <v>68</v>
      </c>
      <c r="B47" s="354" t="s">
        <v>69</v>
      </c>
      <c r="C47" s="631">
        <f t="shared" ref="C47:N47" si="24">0.785*$C18^2*C46</f>
        <v>21.544101314324461</v>
      </c>
      <c r="D47" s="253">
        <f t="shared" si="24"/>
        <v>34.900562652512669</v>
      </c>
      <c r="E47" s="253">
        <f t="shared" si="24"/>
        <v>37.002682296264638</v>
      </c>
      <c r="F47" s="253">
        <f t="shared" si="24"/>
        <v>39.20086681389111</v>
      </c>
      <c r="G47" s="253">
        <f t="shared" si="24"/>
        <v>41.539723441930988</v>
      </c>
      <c r="H47" s="253">
        <f t="shared" si="24"/>
        <v>44.094103569823254</v>
      </c>
      <c r="I47" s="253">
        <f t="shared" si="24"/>
        <v>46.979127468208063</v>
      </c>
      <c r="J47" s="253">
        <f t="shared" si="24"/>
        <v>50.357379813232654</v>
      </c>
      <c r="K47" s="253">
        <f t="shared" si="24"/>
        <v>54.43954622982865</v>
      </c>
      <c r="L47" s="253">
        <f t="shared" si="24"/>
        <v>59.475831937359189</v>
      </c>
      <c r="M47" s="244">
        <f t="shared" si="24"/>
        <v>65.739376158017578</v>
      </c>
      <c r="N47" s="68">
        <f t="shared" si="24"/>
        <v>45.881816915419172</v>
      </c>
    </row>
    <row r="48" spans="1:14" ht="13.8" thickBot="1" x14ac:dyDescent="0.3">
      <c r="A48" s="35" t="s">
        <v>70</v>
      </c>
      <c r="B48" s="354" t="s">
        <v>28</v>
      </c>
      <c r="C48" s="632">
        <f>C64+C65+C117</f>
        <v>0.6712373947960526</v>
      </c>
      <c r="D48" s="638">
        <f t="shared" ref="D48:N48" si="25">D64+D65+D117</f>
        <v>1.2368544009890621</v>
      </c>
      <c r="E48" s="638">
        <f t="shared" si="25"/>
        <v>1.3975738006717082</v>
      </c>
      <c r="F48" s="638">
        <f t="shared" si="25"/>
        <v>1.5919850195247027</v>
      </c>
      <c r="G48" s="638">
        <f t="shared" si="25"/>
        <v>1.8383614782841449</v>
      </c>
      <c r="H48" s="638">
        <f t="shared" si="25"/>
        <v>2.1678933327459027</v>
      </c>
      <c r="I48" s="638">
        <f t="shared" si="25"/>
        <v>2.629564877224785</v>
      </c>
      <c r="J48" s="638">
        <f t="shared" si="25"/>
        <v>3.2957842967730526</v>
      </c>
      <c r="K48" s="638">
        <f t="shared" si="25"/>
        <v>4.2687657681494695</v>
      </c>
      <c r="L48" s="638">
        <f t="shared" si="25"/>
        <v>5.687663909535396</v>
      </c>
      <c r="M48" s="266">
        <f t="shared" si="25"/>
        <v>7.7364605790086109</v>
      </c>
      <c r="N48" s="186">
        <f t="shared" si="25"/>
        <v>29.028831316493815</v>
      </c>
    </row>
    <row r="49" spans="1:14" x14ac:dyDescent="0.25">
      <c r="A49" s="50"/>
      <c r="B49" s="55" t="s">
        <v>71</v>
      </c>
      <c r="C49" s="54">
        <f t="shared" ref="C49:N49" si="26">1.35-0.23*$C13+0.012*$C13^2</f>
        <v>0.50533586913377537</v>
      </c>
      <c r="D49" s="54">
        <f t="shared" si="26"/>
        <v>0.50533586913377537</v>
      </c>
      <c r="E49" s="54">
        <f t="shared" si="26"/>
        <v>0.50533586913377537</v>
      </c>
      <c r="F49" s="54">
        <f t="shared" si="26"/>
        <v>0.50533586913377537</v>
      </c>
      <c r="G49" s="54">
        <f t="shared" si="26"/>
        <v>0.50533586913377537</v>
      </c>
      <c r="H49" s="54">
        <f t="shared" si="26"/>
        <v>0.50533586913377537</v>
      </c>
      <c r="I49" s="54">
        <f t="shared" si="26"/>
        <v>0.50533586913377537</v>
      </c>
      <c r="J49" s="54">
        <f t="shared" si="26"/>
        <v>0.50533586913377537</v>
      </c>
      <c r="K49" s="54">
        <f t="shared" si="26"/>
        <v>0.50533586913377537</v>
      </c>
      <c r="L49" s="54">
        <f t="shared" si="26"/>
        <v>0.50533586913377537</v>
      </c>
      <c r="M49" s="54">
        <f t="shared" si="26"/>
        <v>0.50533586913377537</v>
      </c>
      <c r="N49" s="57">
        <f t="shared" si="26"/>
        <v>0.50533586913377537</v>
      </c>
    </row>
    <row r="50" spans="1:14" x14ac:dyDescent="0.25">
      <c r="A50" s="35"/>
      <c r="B50" s="53" t="s">
        <v>72</v>
      </c>
      <c r="C50" s="43">
        <f t="shared" ref="C50:N50" si="27">0.0011*$C13^9.1</f>
        <v>2310.4354735193988</v>
      </c>
      <c r="D50" s="43">
        <f t="shared" si="27"/>
        <v>2310.4354735193988</v>
      </c>
      <c r="E50" s="43">
        <f t="shared" si="27"/>
        <v>2310.4354735193988</v>
      </c>
      <c r="F50" s="43">
        <f t="shared" si="27"/>
        <v>2310.4354735193988</v>
      </c>
      <c r="G50" s="43">
        <f t="shared" si="27"/>
        <v>2310.4354735193988</v>
      </c>
      <c r="H50" s="43">
        <f t="shared" si="27"/>
        <v>2310.4354735193988</v>
      </c>
      <c r="I50" s="43">
        <f t="shared" si="27"/>
        <v>2310.4354735193988</v>
      </c>
      <c r="J50" s="43">
        <f t="shared" si="27"/>
        <v>2310.4354735193988</v>
      </c>
      <c r="K50" s="43">
        <f t="shared" si="27"/>
        <v>2310.4354735193988</v>
      </c>
      <c r="L50" s="43">
        <f t="shared" si="27"/>
        <v>2310.4354735193988</v>
      </c>
      <c r="M50" s="43">
        <f t="shared" si="27"/>
        <v>2310.4354735193988</v>
      </c>
      <c r="N50" s="46">
        <f t="shared" si="27"/>
        <v>2310.4354735193988</v>
      </c>
    </row>
    <row r="51" spans="1:14" x14ac:dyDescent="0.25">
      <c r="A51" s="35"/>
      <c r="B51" s="53" t="s">
        <v>73</v>
      </c>
      <c r="C51" s="42">
        <f t="shared" ref="C51:N51" si="28">2*$C13-3.7</f>
        <v>6.2034922203783145</v>
      </c>
      <c r="D51" s="42">
        <f t="shared" si="28"/>
        <v>6.2034922203783145</v>
      </c>
      <c r="E51" s="42">
        <f t="shared" si="28"/>
        <v>6.2034922203783145</v>
      </c>
      <c r="F51" s="42">
        <f t="shared" si="28"/>
        <v>6.2034922203783145</v>
      </c>
      <c r="G51" s="42">
        <f t="shared" si="28"/>
        <v>6.2034922203783145</v>
      </c>
      <c r="H51" s="42">
        <f t="shared" si="28"/>
        <v>6.2034922203783145</v>
      </c>
      <c r="I51" s="42">
        <f t="shared" si="28"/>
        <v>6.2034922203783145</v>
      </c>
      <c r="J51" s="42">
        <f t="shared" si="28"/>
        <v>6.2034922203783145</v>
      </c>
      <c r="K51" s="42">
        <f t="shared" si="28"/>
        <v>6.2034922203783145</v>
      </c>
      <c r="L51" s="42">
        <f t="shared" si="28"/>
        <v>6.2034922203783145</v>
      </c>
      <c r="M51" s="42">
        <f t="shared" si="28"/>
        <v>6.2034922203783145</v>
      </c>
      <c r="N51" s="56">
        <f t="shared" si="28"/>
        <v>6.2034922203783145</v>
      </c>
    </row>
    <row r="52" spans="1:14" x14ac:dyDescent="0.25">
      <c r="A52" s="35"/>
      <c r="B52" s="53" t="s">
        <v>74</v>
      </c>
      <c r="C52" s="42">
        <f t="shared" ref="C52:N52" si="29">7-0.09*$C13^2</f>
        <v>4.7932189414203901</v>
      </c>
      <c r="D52" s="42">
        <f t="shared" si="29"/>
        <v>4.7932189414203901</v>
      </c>
      <c r="E52" s="42">
        <f t="shared" si="29"/>
        <v>4.7932189414203901</v>
      </c>
      <c r="F52" s="42">
        <f t="shared" si="29"/>
        <v>4.7932189414203901</v>
      </c>
      <c r="G52" s="42">
        <f t="shared" si="29"/>
        <v>4.7932189414203901</v>
      </c>
      <c r="H52" s="42">
        <f t="shared" si="29"/>
        <v>4.7932189414203901</v>
      </c>
      <c r="I52" s="42">
        <f t="shared" si="29"/>
        <v>4.7932189414203901</v>
      </c>
      <c r="J52" s="42">
        <f t="shared" si="29"/>
        <v>4.7932189414203901</v>
      </c>
      <c r="K52" s="42">
        <f t="shared" si="29"/>
        <v>4.7932189414203901</v>
      </c>
      <c r="L52" s="42">
        <f t="shared" si="29"/>
        <v>4.7932189414203901</v>
      </c>
      <c r="M52" s="42">
        <f t="shared" si="29"/>
        <v>4.7932189414203901</v>
      </c>
      <c r="N52" s="56">
        <f t="shared" si="29"/>
        <v>4.7932189414203901</v>
      </c>
    </row>
    <row r="53" spans="1:14" x14ac:dyDescent="0.25">
      <c r="A53" s="35"/>
      <c r="B53" s="53" t="s">
        <v>75</v>
      </c>
      <c r="C53" s="42">
        <f t="shared" ref="C53:N53" si="30">(5*$C12-2.5)^2</f>
        <v>1.9699499280195145</v>
      </c>
      <c r="D53" s="42">
        <f t="shared" si="30"/>
        <v>1.9699499280195145</v>
      </c>
      <c r="E53" s="42">
        <f t="shared" si="30"/>
        <v>1.9699499280195145</v>
      </c>
      <c r="F53" s="42">
        <f t="shared" si="30"/>
        <v>1.9699499280195145</v>
      </c>
      <c r="G53" s="42">
        <f t="shared" si="30"/>
        <v>1.9699499280195145</v>
      </c>
      <c r="H53" s="42">
        <f t="shared" si="30"/>
        <v>1.9699499280195145</v>
      </c>
      <c r="I53" s="42">
        <f t="shared" si="30"/>
        <v>1.9699499280195145</v>
      </c>
      <c r="J53" s="42">
        <f t="shared" si="30"/>
        <v>1.9699499280195145</v>
      </c>
      <c r="K53" s="42">
        <f t="shared" si="30"/>
        <v>1.9699499280195145</v>
      </c>
      <c r="L53" s="42">
        <f t="shared" si="30"/>
        <v>1.9699499280195145</v>
      </c>
      <c r="M53" s="42">
        <f t="shared" si="30"/>
        <v>1.9699499280195145</v>
      </c>
      <c r="N53" s="56">
        <f t="shared" si="30"/>
        <v>1.9699499280195145</v>
      </c>
    </row>
    <row r="54" spans="1:14" x14ac:dyDescent="0.25">
      <c r="A54" s="35"/>
      <c r="B54" s="53" t="s">
        <v>76</v>
      </c>
      <c r="C54" s="42">
        <f t="shared" ref="C54:N54" si="31">(600*(C22-0.315)^2+1)^1.5</f>
        <v>116.21866402766382</v>
      </c>
      <c r="D54" s="42">
        <f t="shared" si="31"/>
        <v>32.914866281614927</v>
      </c>
      <c r="E54" s="42">
        <f t="shared" si="31"/>
        <v>26.365644653148415</v>
      </c>
      <c r="F54" s="42">
        <f t="shared" si="31"/>
        <v>20.798874499411056</v>
      </c>
      <c r="G54" s="42">
        <f t="shared" si="31"/>
        <v>16.130584006034162</v>
      </c>
      <c r="H54" s="42">
        <f t="shared" si="31"/>
        <v>12.277002360042575</v>
      </c>
      <c r="I54" s="42">
        <f t="shared" si="31"/>
        <v>9.1546672481812088</v>
      </c>
      <c r="J54" s="42">
        <f t="shared" si="31"/>
        <v>6.6806052776539762</v>
      </c>
      <c r="K54" s="42">
        <f t="shared" si="31"/>
        <v>4.7726452880337096</v>
      </c>
      <c r="L54" s="42">
        <f t="shared" si="31"/>
        <v>3.3499808016143415</v>
      </c>
      <c r="M54" s="42">
        <f t="shared" si="31"/>
        <v>2.3342076079393079</v>
      </c>
      <c r="N54" s="56">
        <f t="shared" si="31"/>
        <v>1.0225841652402019</v>
      </c>
    </row>
    <row r="55" spans="1:14" x14ac:dyDescent="0.25">
      <c r="A55" s="35"/>
      <c r="B55" s="53" t="s">
        <v>77</v>
      </c>
      <c r="C55" s="42">
        <f t="shared" ref="C55:N55" si="32">C52*C53/C54</f>
        <v>8.1246858132745972E-2</v>
      </c>
      <c r="D55" s="42">
        <f t="shared" si="32"/>
        <v>0.28687345188781943</v>
      </c>
      <c r="E55" s="42">
        <f t="shared" si="32"/>
        <v>0.35813276833742502</v>
      </c>
      <c r="F55" s="42">
        <f t="shared" si="32"/>
        <v>0.45398616684283771</v>
      </c>
      <c r="G55" s="42">
        <f t="shared" si="32"/>
        <v>0.58537256339266064</v>
      </c>
      <c r="H55" s="42">
        <f t="shared" si="32"/>
        <v>0.7691129342260814</v>
      </c>
      <c r="I55" s="42">
        <f t="shared" si="32"/>
        <v>1.0314303133747245</v>
      </c>
      <c r="J55" s="42">
        <f t="shared" si="32"/>
        <v>1.4134050607984361</v>
      </c>
      <c r="K55" s="42">
        <f t="shared" si="32"/>
        <v>1.9784418784080771</v>
      </c>
      <c r="L55" s="42">
        <f t="shared" si="32"/>
        <v>2.8186434095630091</v>
      </c>
      <c r="M55" s="42">
        <f t="shared" si="32"/>
        <v>4.0452277151854714</v>
      </c>
      <c r="N55" s="56">
        <f t="shared" si="32"/>
        <v>9.233862238043633</v>
      </c>
    </row>
    <row r="56" spans="1:14" x14ac:dyDescent="0.25">
      <c r="A56" s="35"/>
      <c r="B56" s="53"/>
      <c r="C56" s="42">
        <f t="shared" ref="C56:N56" si="33">C22-(0.04+0.59*$C12)-0.015*($C13-5)</f>
        <v>-0.37989497922762833</v>
      </c>
      <c r="D56" s="42">
        <f t="shared" si="33"/>
        <v>-0.30919685861360985</v>
      </c>
      <c r="E56" s="42">
        <f t="shared" si="33"/>
        <v>-0.29933910171150729</v>
      </c>
      <c r="F56" s="42">
        <f t="shared" si="33"/>
        <v>-0.28948134480940479</v>
      </c>
      <c r="G56" s="42">
        <f t="shared" si="33"/>
        <v>-0.27962358790730224</v>
      </c>
      <c r="H56" s="42">
        <f t="shared" si="33"/>
        <v>-0.26976583100519974</v>
      </c>
      <c r="I56" s="42">
        <f t="shared" si="33"/>
        <v>-0.25990807410309719</v>
      </c>
      <c r="J56" s="42">
        <f t="shared" si="33"/>
        <v>-0.25005031720099463</v>
      </c>
      <c r="K56" s="42">
        <f t="shared" si="33"/>
        <v>-0.2401925602988921</v>
      </c>
      <c r="L56" s="42">
        <f t="shared" si="33"/>
        <v>-0.23033480339678955</v>
      </c>
      <c r="M56" s="42">
        <f t="shared" si="33"/>
        <v>-0.22047704649468705</v>
      </c>
      <c r="N56" s="56">
        <f t="shared" si="33"/>
        <v>-0.17989497922762829</v>
      </c>
    </row>
    <row r="57" spans="1:14" x14ac:dyDescent="0.25">
      <c r="A57" s="18"/>
      <c r="B57" s="53" t="s">
        <v>78</v>
      </c>
      <c r="C57" s="42">
        <f t="shared" ref="C57:N57" si="34">EXP(80*C56)</f>
        <v>6.3255245482617546E-14</v>
      </c>
      <c r="D57" s="42">
        <f t="shared" si="34"/>
        <v>1.8088428543514182E-11</v>
      </c>
      <c r="E57" s="42">
        <f t="shared" si="34"/>
        <v>3.9801037468881073E-11</v>
      </c>
      <c r="F57" s="42">
        <f t="shared" si="34"/>
        <v>8.7576573044388065E-11</v>
      </c>
      <c r="G57" s="42">
        <f t="shared" si="34"/>
        <v>1.9269990517698709E-10</v>
      </c>
      <c r="H57" s="42">
        <f t="shared" si="34"/>
        <v>4.2400898053408356E-10</v>
      </c>
      <c r="I57" s="42">
        <f t="shared" si="34"/>
        <v>9.3297199813580327E-10</v>
      </c>
      <c r="J57" s="42">
        <f t="shared" si="34"/>
        <v>2.0528733806748796E-9</v>
      </c>
      <c r="K57" s="42">
        <f t="shared" si="34"/>
        <v>4.5170585242688899E-9</v>
      </c>
      <c r="L57" s="42">
        <f t="shared" si="34"/>
        <v>9.9391506089686418E-9</v>
      </c>
      <c r="M57" s="42">
        <f t="shared" si="34"/>
        <v>2.1869700004329735E-8</v>
      </c>
      <c r="N57" s="56">
        <f t="shared" si="34"/>
        <v>5.620931023603968E-7</v>
      </c>
    </row>
    <row r="58" spans="1:14" x14ac:dyDescent="0.25">
      <c r="A58" s="18"/>
      <c r="B58" s="53"/>
      <c r="C58" s="42">
        <f t="shared" ref="C58:N58" si="35">20*$C12-16</f>
        <v>-0.38580381102403649</v>
      </c>
      <c r="D58" s="42">
        <f t="shared" si="35"/>
        <v>-0.38580381102403649</v>
      </c>
      <c r="E58" s="42">
        <f t="shared" si="35"/>
        <v>-0.38580381102403649</v>
      </c>
      <c r="F58" s="42">
        <f t="shared" si="35"/>
        <v>-0.38580381102403649</v>
      </c>
      <c r="G58" s="42">
        <f t="shared" si="35"/>
        <v>-0.38580381102403649</v>
      </c>
      <c r="H58" s="42">
        <f t="shared" si="35"/>
        <v>-0.38580381102403649</v>
      </c>
      <c r="I58" s="42">
        <f t="shared" si="35"/>
        <v>-0.38580381102403649</v>
      </c>
      <c r="J58" s="42">
        <f t="shared" si="35"/>
        <v>-0.38580381102403649</v>
      </c>
      <c r="K58" s="42">
        <f t="shared" si="35"/>
        <v>-0.38580381102403649</v>
      </c>
      <c r="L58" s="42">
        <f t="shared" si="35"/>
        <v>-0.38580381102403649</v>
      </c>
      <c r="M58" s="42">
        <f t="shared" si="35"/>
        <v>-0.38580381102403649</v>
      </c>
      <c r="N58" s="56">
        <f t="shared" si="35"/>
        <v>-0.38580381102403649</v>
      </c>
    </row>
    <row r="59" spans="1:14" x14ac:dyDescent="0.25">
      <c r="A59" s="18"/>
      <c r="B59" s="53" t="s">
        <v>79</v>
      </c>
      <c r="C59" s="42">
        <f t="shared" ref="C59:N59" si="36">180*C22^3.7*EXP(C58)</f>
        <v>4.7939185309851674E-2</v>
      </c>
      <c r="D59" s="42">
        <f t="shared" si="36"/>
        <v>0.26607358845563939</v>
      </c>
      <c r="E59" s="42">
        <f t="shared" si="36"/>
        <v>0.32062028561259903</v>
      </c>
      <c r="F59" s="42">
        <f t="shared" si="36"/>
        <v>0.38290707158479309</v>
      </c>
      <c r="G59" s="42">
        <f t="shared" si="36"/>
        <v>0.45359158640057828</v>
      </c>
      <c r="H59" s="42">
        <f t="shared" si="36"/>
        <v>0.5333534024183989</v>
      </c>
      <c r="I59" s="42">
        <f t="shared" si="36"/>
        <v>0.62289372486341787</v>
      </c>
      <c r="J59" s="42">
        <f t="shared" si="36"/>
        <v>0.72293510932384697</v>
      </c>
      <c r="K59" s="42">
        <f t="shared" si="36"/>
        <v>0.8342211945774799</v>
      </c>
      <c r="L59" s="42">
        <f t="shared" si="36"/>
        <v>0.95751644933468649</v>
      </c>
      <c r="M59" s="42">
        <f t="shared" si="36"/>
        <v>1.0936059316640789</v>
      </c>
      <c r="N59" s="56">
        <f t="shared" si="36"/>
        <v>1.8062379328283633</v>
      </c>
    </row>
    <row r="60" spans="1:14" x14ac:dyDescent="0.25">
      <c r="A60" s="18"/>
      <c r="B60" s="53"/>
      <c r="C60" s="42">
        <f t="shared" ref="C60:N60" si="37">C49+1.5*C22^1.8+C50*C22^(C51)</f>
        <v>0.54282501706947661</v>
      </c>
      <c r="D60" s="42">
        <f t="shared" si="37"/>
        <v>0.66062866823277477</v>
      </c>
      <c r="E60" s="42">
        <f t="shared" si="37"/>
        <v>0.69695604943806244</v>
      </c>
      <c r="F60" s="42">
        <f t="shared" si="37"/>
        <v>0.7420511950180253</v>
      </c>
      <c r="G60" s="42">
        <f t="shared" si="37"/>
        <v>0.79780344506386913</v>
      </c>
      <c r="H60" s="42">
        <f t="shared" si="37"/>
        <v>0.86640834007994838</v>
      </c>
      <c r="I60" s="42">
        <f t="shared" si="37"/>
        <v>0.95040006538105426</v>
      </c>
      <c r="J60" s="42">
        <f t="shared" si="37"/>
        <v>1.0526856935925937</v>
      </c>
      <c r="K60" s="42">
        <f t="shared" si="37"/>
        <v>1.176581241010922</v>
      </c>
      <c r="L60" s="42">
        <f t="shared" si="37"/>
        <v>1.3258495531064227</v>
      </c>
      <c r="M60" s="42">
        <f t="shared" si="37"/>
        <v>1.5047400340013641</v>
      </c>
      <c r="N60" s="56">
        <f t="shared" si="37"/>
        <v>2.6656619620179502</v>
      </c>
    </row>
    <row r="61" spans="1:14" x14ac:dyDescent="0.25">
      <c r="A61" s="35"/>
      <c r="B61" s="53"/>
      <c r="C61" s="42">
        <f t="shared" ref="C61:N61" si="38">0.98+2.5/($C13-2)^4</f>
        <v>1.0129324476607617</v>
      </c>
      <c r="D61" s="42">
        <f t="shared" si="38"/>
        <v>1.0129324476607617</v>
      </c>
      <c r="E61" s="42">
        <f t="shared" si="38"/>
        <v>1.0129324476607617</v>
      </c>
      <c r="F61" s="42">
        <f t="shared" si="38"/>
        <v>1.0129324476607617</v>
      </c>
      <c r="G61" s="42">
        <f t="shared" si="38"/>
        <v>1.0129324476607617</v>
      </c>
      <c r="H61" s="42">
        <f t="shared" si="38"/>
        <v>1.0129324476607617</v>
      </c>
      <c r="I61" s="42">
        <f t="shared" si="38"/>
        <v>1.0129324476607617</v>
      </c>
      <c r="J61" s="42">
        <f t="shared" si="38"/>
        <v>1.0129324476607617</v>
      </c>
      <c r="K61" s="42">
        <f t="shared" si="38"/>
        <v>1.0129324476607617</v>
      </c>
      <c r="L61" s="42">
        <f t="shared" si="38"/>
        <v>1.0129324476607617</v>
      </c>
      <c r="M61" s="42">
        <f t="shared" si="38"/>
        <v>1.0129324476607617</v>
      </c>
      <c r="N61" s="56">
        <f t="shared" si="38"/>
        <v>1.0129324476607617</v>
      </c>
    </row>
    <row r="62" spans="1:14" x14ac:dyDescent="0.25">
      <c r="A62" s="35"/>
      <c r="B62" s="53"/>
      <c r="C62" s="42">
        <f t="shared" ref="C62:N62" si="39">($C13-5)^4*(C22-0.1)^4</f>
        <v>8.6745967516153361E-13</v>
      </c>
      <c r="D62" s="42">
        <f t="shared" si="39"/>
        <v>3.6687867133892593E-10</v>
      </c>
      <c r="E62" s="42">
        <f t="shared" si="39"/>
        <v>5.5431822006202618E-10</v>
      </c>
      <c r="F62" s="42">
        <f t="shared" si="39"/>
        <v>8.0578677399081419E-10</v>
      </c>
      <c r="G62" s="42">
        <f t="shared" si="39"/>
        <v>1.134432480665776E-9</v>
      </c>
      <c r="H62" s="42">
        <f t="shared" si="39"/>
        <v>1.5546322077488813E-9</v>
      </c>
      <c r="I62" s="42">
        <f t="shared" si="39"/>
        <v>2.0819915430235904E-9</v>
      </c>
      <c r="J62" s="42">
        <f t="shared" si="39"/>
        <v>2.7333447943948524E-9</v>
      </c>
      <c r="K62" s="42">
        <f t="shared" si="39"/>
        <v>3.5267549898890963E-9</v>
      </c>
      <c r="L62" s="42">
        <f t="shared" si="39"/>
        <v>4.4815138776542524E-9</v>
      </c>
      <c r="M62" s="42">
        <f t="shared" si="39"/>
        <v>5.6181419259597193E-9</v>
      </c>
      <c r="N62" s="56">
        <f t="shared" si="39"/>
        <v>1.2700477104040041E-8</v>
      </c>
    </row>
    <row r="63" spans="1:14" x14ac:dyDescent="0.25">
      <c r="A63" s="35"/>
      <c r="B63" s="53" t="s">
        <v>80</v>
      </c>
      <c r="C63" s="42">
        <f t="shared" ref="C63:N63" si="40">C60*C61+C62</f>
        <v>0.54984507319254716</v>
      </c>
      <c r="D63" s="42">
        <f t="shared" si="40"/>
        <v>0.66917221427477247</v>
      </c>
      <c r="E63" s="42">
        <f t="shared" si="40"/>
        <v>0.70596939762358968</v>
      </c>
      <c r="F63" s="42">
        <f t="shared" si="40"/>
        <v>0.75164773406498842</v>
      </c>
      <c r="G63" s="42">
        <f t="shared" si="40"/>
        <v>0.80812099749516542</v>
      </c>
      <c r="H63" s="42">
        <f t="shared" si="40"/>
        <v>0.87761312214551201</v>
      </c>
      <c r="I63" s="42">
        <f t="shared" si="40"/>
        <v>0.96269106656537085</v>
      </c>
      <c r="J63" s="42">
        <f t="shared" si="40"/>
        <v>1.0662994989615575</v>
      </c>
      <c r="K63" s="42">
        <f t="shared" si="40"/>
        <v>1.1917973198556848</v>
      </c>
      <c r="L63" s="42">
        <f t="shared" si="40"/>
        <v>1.3429960375395298</v>
      </c>
      <c r="M63" s="42">
        <f t="shared" si="40"/>
        <v>1.5242000113522816</v>
      </c>
      <c r="N63" s="56">
        <f t="shared" si="40"/>
        <v>2.7001355085235081</v>
      </c>
    </row>
    <row r="64" spans="1:14" x14ac:dyDescent="0.25">
      <c r="A64" s="35"/>
      <c r="B64" s="53" t="s">
        <v>81</v>
      </c>
      <c r="C64" s="42">
        <f t="shared" ref="C64:N64" si="41">0.16*($C5/$C6-2.5)</f>
        <v>5.8527412576470539E-2</v>
      </c>
      <c r="D64" s="42">
        <f t="shared" si="41"/>
        <v>5.8527412576470539E-2</v>
      </c>
      <c r="E64" s="42">
        <f t="shared" si="41"/>
        <v>5.8527412576470539E-2</v>
      </c>
      <c r="F64" s="42">
        <f t="shared" si="41"/>
        <v>5.8527412576470539E-2</v>
      </c>
      <c r="G64" s="42">
        <f t="shared" si="41"/>
        <v>5.8527412576470539E-2</v>
      </c>
      <c r="H64" s="42">
        <f t="shared" si="41"/>
        <v>5.8527412576470539E-2</v>
      </c>
      <c r="I64" s="42">
        <f t="shared" si="41"/>
        <v>5.8527412576470539E-2</v>
      </c>
      <c r="J64" s="42">
        <f t="shared" si="41"/>
        <v>5.8527412576470539E-2</v>
      </c>
      <c r="K64" s="42">
        <f t="shared" si="41"/>
        <v>5.8527412576470539E-2</v>
      </c>
      <c r="L64" s="42">
        <f t="shared" si="41"/>
        <v>5.8527412576470539E-2</v>
      </c>
      <c r="M64" s="42">
        <f t="shared" si="41"/>
        <v>5.8527412576470539E-2</v>
      </c>
      <c r="N64" s="56">
        <f t="shared" si="41"/>
        <v>5.8527412576470539E-2</v>
      </c>
    </row>
    <row r="65" spans="1:14" x14ac:dyDescent="0.25">
      <c r="A65" s="35"/>
      <c r="B65" s="53" t="s">
        <v>82</v>
      </c>
      <c r="C65" s="42">
        <f t="shared" ref="C65:N65" si="42">($C15-$C14)/3*0.1</f>
        <v>0</v>
      </c>
      <c r="D65" s="42">
        <f t="shared" si="42"/>
        <v>0</v>
      </c>
      <c r="E65" s="42">
        <f t="shared" si="42"/>
        <v>0</v>
      </c>
      <c r="F65" s="42">
        <f t="shared" si="42"/>
        <v>0</v>
      </c>
      <c r="G65" s="42">
        <f t="shared" si="42"/>
        <v>0</v>
      </c>
      <c r="H65" s="42">
        <f t="shared" si="42"/>
        <v>0</v>
      </c>
      <c r="I65" s="42">
        <f t="shared" si="42"/>
        <v>0</v>
      </c>
      <c r="J65" s="42">
        <f t="shared" si="42"/>
        <v>0</v>
      </c>
      <c r="K65" s="42">
        <f t="shared" si="42"/>
        <v>0</v>
      </c>
      <c r="L65" s="42">
        <f t="shared" si="42"/>
        <v>0</v>
      </c>
      <c r="M65" s="42">
        <f t="shared" si="42"/>
        <v>0</v>
      </c>
      <c r="N65" s="56">
        <f t="shared" si="42"/>
        <v>0</v>
      </c>
    </row>
    <row r="66" spans="1:14" x14ac:dyDescent="0.25">
      <c r="A66" s="35"/>
      <c r="B66" s="53" t="s">
        <v>83</v>
      </c>
      <c r="C66" s="53">
        <f>0.1*C5/C4+0.149</f>
        <v>0.16643404365847386</v>
      </c>
      <c r="D66" s="53" t="s">
        <v>84</v>
      </c>
      <c r="E66" s="53">
        <f>0.625*C5/C4+0.08</f>
        <v>0.18896277286546165</v>
      </c>
      <c r="F66" s="53"/>
      <c r="G66" s="53"/>
      <c r="H66" s="53"/>
      <c r="I66" s="53"/>
      <c r="J66" s="53"/>
      <c r="K66" s="53"/>
      <c r="L66" s="53"/>
      <c r="M66" s="53"/>
      <c r="N66" s="58"/>
    </row>
    <row r="67" spans="1:14" x14ac:dyDescent="0.25">
      <c r="A67" s="35"/>
      <c r="B67" s="53" t="s">
        <v>85</v>
      </c>
      <c r="C67" s="53">
        <f>0.05*C5/C4+0.449</f>
        <v>0.45771702182923696</v>
      </c>
      <c r="D67" s="53" t="s">
        <v>86</v>
      </c>
      <c r="E67" s="53">
        <f>0.165-0.25*C5/C4</f>
        <v>0.12141489085381535</v>
      </c>
      <c r="F67" s="53"/>
      <c r="G67" s="53"/>
      <c r="H67" s="53"/>
      <c r="I67" s="53"/>
      <c r="J67" s="53"/>
      <c r="K67" s="53"/>
      <c r="L67" s="53"/>
      <c r="M67" s="53"/>
      <c r="N67" s="58"/>
    </row>
    <row r="68" spans="1:14" x14ac:dyDescent="0.25">
      <c r="A68" s="35"/>
      <c r="B68" s="53" t="s">
        <v>87</v>
      </c>
      <c r="C68" s="53">
        <f>585-5027*C5/C4+11700*(C5/C4)^2</f>
        <v>64.207302882638999</v>
      </c>
      <c r="D68" s="53" t="s">
        <v>88</v>
      </c>
      <c r="E68" s="53">
        <f>825-8060*C5/C4+20300*(C5/C4)^2</f>
        <v>36.826214046719201</v>
      </c>
      <c r="F68" s="53"/>
      <c r="G68" s="53"/>
      <c r="H68" s="53"/>
      <c r="I68" s="53"/>
      <c r="J68" s="53"/>
      <c r="K68" s="53"/>
      <c r="L68" s="53"/>
      <c r="M68" s="53"/>
      <c r="N68" s="58"/>
    </row>
    <row r="69" spans="1:14" x14ac:dyDescent="0.25">
      <c r="A69" s="35"/>
      <c r="B69" s="53" t="s">
        <v>89</v>
      </c>
      <c r="C69" s="42">
        <f>C66+C67/(C68*(0.98-C11)^3+1)</f>
        <v>0.46353003608670068</v>
      </c>
      <c r="D69" s="42" t="s">
        <v>90</v>
      </c>
      <c r="E69" s="42">
        <f>E66+E67/(E68*(0.98-C11)^3+1)</f>
        <v>0.28164000857589228</v>
      </c>
      <c r="F69" s="42"/>
      <c r="G69" s="42"/>
      <c r="H69" s="53"/>
      <c r="I69" s="53"/>
      <c r="J69" s="53"/>
      <c r="K69" s="53"/>
      <c r="L69" s="53"/>
      <c r="M69" s="53"/>
      <c r="N69" s="58"/>
    </row>
    <row r="70" spans="1:14" x14ac:dyDescent="0.25">
      <c r="A70" s="35"/>
      <c r="B70" s="53" t="s">
        <v>91</v>
      </c>
      <c r="C70" s="42">
        <f>0.025*C15/(100*(C11-0.7)^2+1)</f>
        <v>0</v>
      </c>
      <c r="D70" s="42" t="s">
        <v>92</v>
      </c>
      <c r="E70" s="42">
        <f>-0.01*C15</f>
        <v>0</v>
      </c>
      <c r="F70" s="42"/>
      <c r="G70" s="42"/>
      <c r="H70" s="53"/>
      <c r="I70" s="53"/>
      <c r="J70" s="53"/>
      <c r="K70" s="53"/>
      <c r="L70" s="53"/>
      <c r="M70" s="53"/>
      <c r="N70" s="58"/>
    </row>
    <row r="71" spans="1:14" x14ac:dyDescent="0.25">
      <c r="A71" s="35"/>
      <c r="B71" s="53" t="s">
        <v>93</v>
      </c>
      <c r="C71" s="42">
        <f>0.00756/(C18/C4+0.002)-0.18</f>
        <v>-1.6686165081056942E-2</v>
      </c>
      <c r="D71" s="42" t="s">
        <v>94</v>
      </c>
      <c r="E71" s="42">
        <f>2*(C18/C4-0.04)</f>
        <v>8.5824808872099062E-3</v>
      </c>
      <c r="F71" s="42"/>
      <c r="G71" s="42"/>
      <c r="H71" s="53"/>
      <c r="I71" s="53"/>
      <c r="J71" s="53"/>
      <c r="K71" s="53"/>
      <c r="L71" s="53"/>
      <c r="M71" s="53"/>
      <c r="N71" s="58"/>
    </row>
    <row r="72" spans="1:14" x14ac:dyDescent="0.25">
      <c r="A72" s="35"/>
      <c r="B72" s="53" t="s">
        <v>93</v>
      </c>
      <c r="C72" s="42">
        <f>MIN(0.1,C71)</f>
        <v>-1.6686165081056942E-2</v>
      </c>
      <c r="D72" s="42"/>
      <c r="E72" s="42"/>
      <c r="F72" s="42"/>
      <c r="G72" s="42"/>
      <c r="H72" s="53"/>
      <c r="I72" s="53"/>
      <c r="J72" s="53"/>
      <c r="K72" s="53"/>
      <c r="L72" s="53"/>
      <c r="M72" s="53"/>
      <c r="N72" s="58"/>
    </row>
    <row r="73" spans="1:14" x14ac:dyDescent="0.25">
      <c r="A73" s="35"/>
      <c r="B73" s="53" t="s">
        <v>95</v>
      </c>
      <c r="C73" s="76">
        <f>C69+C70+C72</f>
        <v>0.44684387100564371</v>
      </c>
      <c r="D73" s="42" t="s">
        <v>96</v>
      </c>
      <c r="E73" s="76">
        <f>E69+E70+E71</f>
        <v>0.2902224894631022</v>
      </c>
      <c r="F73" s="42" t="s">
        <v>97</v>
      </c>
      <c r="G73" s="76">
        <f>0.7*C11-0.2</f>
        <v>0.34359067277204663</v>
      </c>
      <c r="H73" s="53"/>
      <c r="I73" s="53"/>
      <c r="J73" s="53"/>
      <c r="K73" s="53"/>
      <c r="L73" s="53"/>
      <c r="M73" s="53"/>
      <c r="N73" s="58"/>
    </row>
    <row r="74" spans="1:14" x14ac:dyDescent="0.25">
      <c r="A74" s="35"/>
      <c r="B74" s="53" t="s">
        <v>98</v>
      </c>
      <c r="C74" s="76">
        <f>1.133*C11^2-0.797*C11+0.215</f>
        <v>0.27933033098374571</v>
      </c>
      <c r="D74" s="42" t="s">
        <v>99</v>
      </c>
      <c r="E74" s="76">
        <f>0.0665+0.62833*C74</f>
        <v>0.24201162686701697</v>
      </c>
      <c r="F74" s="42" t="s">
        <v>100</v>
      </c>
      <c r="G74" s="76">
        <f>0.2*C11+0.06</f>
        <v>0.21531162079201335</v>
      </c>
      <c r="H74" s="53"/>
      <c r="I74" s="53"/>
      <c r="J74" s="53"/>
      <c r="K74" s="53"/>
      <c r="L74" s="53"/>
      <c r="M74" s="53"/>
      <c r="N74" s="58"/>
    </row>
    <row r="75" spans="1:14" x14ac:dyDescent="0.25">
      <c r="A75" s="22" t="s">
        <v>101</v>
      </c>
      <c r="B75" s="53" t="s">
        <v>102</v>
      </c>
      <c r="C75" s="53">
        <f t="shared" ref="C75:N75" si="43">IF(C22&gt;$J9,0,IF($C17=1,0.2,0.1))</f>
        <v>0.2</v>
      </c>
      <c r="D75" s="53">
        <f t="shared" si="43"/>
        <v>0.2</v>
      </c>
      <c r="E75" s="53">
        <f t="shared" si="43"/>
        <v>0.2</v>
      </c>
      <c r="F75" s="53">
        <f t="shared" si="43"/>
        <v>0.2</v>
      </c>
      <c r="G75" s="53">
        <f t="shared" si="43"/>
        <v>0.2</v>
      </c>
      <c r="H75" s="53">
        <f t="shared" si="43"/>
        <v>0.2</v>
      </c>
      <c r="I75" s="53">
        <f t="shared" si="43"/>
        <v>0.2</v>
      </c>
      <c r="J75" s="53">
        <f t="shared" si="43"/>
        <v>0.2</v>
      </c>
      <c r="K75" s="53">
        <f t="shared" si="43"/>
        <v>0.2</v>
      </c>
      <c r="L75" s="53">
        <f t="shared" si="43"/>
        <v>0.2</v>
      </c>
      <c r="M75" s="53">
        <f t="shared" si="43"/>
        <v>0.2</v>
      </c>
      <c r="N75" s="53">
        <f t="shared" si="43"/>
        <v>0.2</v>
      </c>
    </row>
    <row r="76" spans="1:14" x14ac:dyDescent="0.25">
      <c r="A76" s="22"/>
      <c r="B76" s="59" t="s">
        <v>123</v>
      </c>
      <c r="C76" s="67">
        <f t="shared" ref="C76:N76" si="44">C22</f>
        <v>0.12</v>
      </c>
      <c r="D76" s="67">
        <f t="shared" si="44"/>
        <v>0.19069812061401845</v>
      </c>
      <c r="E76" s="67">
        <f t="shared" si="44"/>
        <v>0.200555877516121</v>
      </c>
      <c r="F76" s="67">
        <f t="shared" si="44"/>
        <v>0.21041363441822353</v>
      </c>
      <c r="G76" s="67">
        <f t="shared" si="44"/>
        <v>0.22027139132032608</v>
      </c>
      <c r="H76" s="67">
        <f t="shared" si="44"/>
        <v>0.23012914822242861</v>
      </c>
      <c r="I76" s="67">
        <f t="shared" si="44"/>
        <v>0.23998690512453114</v>
      </c>
      <c r="J76" s="67">
        <f t="shared" si="44"/>
        <v>0.24984466202663369</v>
      </c>
      <c r="K76" s="67">
        <f t="shared" si="44"/>
        <v>0.25970241892873619</v>
      </c>
      <c r="L76" s="67">
        <f t="shared" si="44"/>
        <v>0.26956017583083874</v>
      </c>
      <c r="M76" s="67">
        <f t="shared" si="44"/>
        <v>0.27941793273294124</v>
      </c>
      <c r="N76" s="67">
        <f t="shared" si="44"/>
        <v>0.32</v>
      </c>
    </row>
    <row r="77" spans="1:14" x14ac:dyDescent="0.25">
      <c r="A77" s="22"/>
      <c r="B77" s="59" t="s">
        <v>103</v>
      </c>
      <c r="C77" s="49">
        <f t="shared" ref="C77:N77" si="45">C22^2</f>
        <v>1.44E-2</v>
      </c>
      <c r="D77" s="49">
        <f t="shared" si="45"/>
        <v>3.6365773205718724E-2</v>
      </c>
      <c r="E77" s="49">
        <f t="shared" si="45"/>
        <v>4.0222660006261332E-2</v>
      </c>
      <c r="F77" s="49">
        <f t="shared" si="45"/>
        <v>4.4273897549085818E-2</v>
      </c>
      <c r="G77" s="49">
        <f t="shared" si="45"/>
        <v>4.8519485834192223E-2</v>
      </c>
      <c r="H77" s="49">
        <f t="shared" si="45"/>
        <v>5.2959424861580513E-2</v>
      </c>
      <c r="I77" s="49">
        <f t="shared" si="45"/>
        <v>5.7593714631250709E-2</v>
      </c>
      <c r="J77" s="49">
        <f t="shared" si="45"/>
        <v>6.2422355143202816E-2</v>
      </c>
      <c r="K77" s="49">
        <f t="shared" si="45"/>
        <v>6.7445346397436795E-2</v>
      </c>
      <c r="L77" s="49">
        <f t="shared" si="45"/>
        <v>7.2662688393952707E-2</v>
      </c>
      <c r="M77" s="49">
        <f t="shared" si="45"/>
        <v>7.8074381132750476E-2</v>
      </c>
      <c r="N77" s="49">
        <f t="shared" si="45"/>
        <v>0.1024</v>
      </c>
    </row>
    <row r="78" spans="1:14" x14ac:dyDescent="0.25">
      <c r="A78" s="22"/>
      <c r="B78" s="59" t="s">
        <v>104</v>
      </c>
      <c r="C78" s="49">
        <f t="shared" ref="C78:N78" si="46">C22^3</f>
        <v>1.7279999999999999E-3</v>
      </c>
      <c r="D78" s="49">
        <f t="shared" si="46"/>
        <v>6.9348846050061898E-3</v>
      </c>
      <c r="E78" s="49">
        <f t="shared" si="46"/>
        <v>8.0668908735883268E-3</v>
      </c>
      <c r="F78" s="49">
        <f t="shared" si="46"/>
        <v>9.3158316931632266E-3</v>
      </c>
      <c r="G78" s="49">
        <f t="shared" si="46"/>
        <v>1.0687454650844374E-2</v>
      </c>
      <c r="H78" s="49">
        <f t="shared" si="46"/>
        <v>1.2187507333745233E-2</v>
      </c>
      <c r="I78" s="49">
        <f t="shared" si="46"/>
        <v>1.3821737328979285E-2</v>
      </c>
      <c r="J78" s="49">
        <f t="shared" si="46"/>
        <v>1.5595892223660007E-2</v>
      </c>
      <c r="K78" s="49">
        <f t="shared" si="46"/>
        <v>1.7515719604900858E-2</v>
      </c>
      <c r="L78" s="49">
        <f t="shared" si="46"/>
        <v>1.9586967059815337E-2</v>
      </c>
      <c r="M78" s="49">
        <f t="shared" si="46"/>
        <v>2.181538217551689E-2</v>
      </c>
      <c r="N78" s="49">
        <f t="shared" si="46"/>
        <v>3.2768000000000005E-2</v>
      </c>
    </row>
    <row r="79" spans="1:14" x14ac:dyDescent="0.25">
      <c r="A79" s="22"/>
      <c r="B79" s="59" t="s">
        <v>105</v>
      </c>
      <c r="C79" s="49">
        <f t="shared" ref="C79:N79" si="47">C22^4</f>
        <v>2.0735999999999999E-4</v>
      </c>
      <c r="D79" s="49">
        <f t="shared" si="47"/>
        <v>1.32246946084977E-3</v>
      </c>
      <c r="E79" s="49">
        <f t="shared" si="47"/>
        <v>1.6178623779792949E-3</v>
      </c>
      <c r="F79" s="49">
        <f t="shared" si="47"/>
        <v>1.9601780041869472E-3</v>
      </c>
      <c r="G79" s="49">
        <f t="shared" si="47"/>
        <v>2.35414050561438E-3</v>
      </c>
      <c r="H79" s="49">
        <f t="shared" si="47"/>
        <v>2.8047006816693922E-3</v>
      </c>
      <c r="I79" s="49">
        <f t="shared" si="47"/>
        <v>3.3170359650259418E-3</v>
      </c>
      <c r="J79" s="49">
        <f t="shared" si="47"/>
        <v>3.8965504216241392E-3</v>
      </c>
      <c r="K79" s="49">
        <f t="shared" si="47"/>
        <v>4.5488747506702409E-3</v>
      </c>
      <c r="L79" s="49">
        <f t="shared" si="47"/>
        <v>5.2798662846366695E-3</v>
      </c>
      <c r="M79" s="49">
        <f t="shared" si="47"/>
        <v>6.0956089892619837E-3</v>
      </c>
      <c r="N79" s="49">
        <f t="shared" si="47"/>
        <v>1.048576E-2</v>
      </c>
    </row>
    <row r="80" spans="1:14" x14ac:dyDescent="0.25">
      <c r="A80" s="22"/>
      <c r="B80" s="59" t="s">
        <v>106</v>
      </c>
      <c r="C80" s="49">
        <f t="shared" ref="C80:N80" si="48">C22^5</f>
        <v>2.4883199999999999E-5</v>
      </c>
      <c r="D80" s="49">
        <f t="shared" si="48"/>
        <v>2.521924407534854E-4</v>
      </c>
      <c r="E80" s="49">
        <f t="shared" si="48"/>
        <v>3.2447180891595571E-4</v>
      </c>
      <c r="F80" s="49">
        <f t="shared" si="48"/>
        <v>4.124481779676353E-4</v>
      </c>
      <c r="G80" s="49">
        <f t="shared" si="48"/>
        <v>5.1854980453521545E-4</v>
      </c>
      <c r="H80" s="49">
        <f t="shared" si="48"/>
        <v>6.4544337889144209E-4</v>
      </c>
      <c r="I80" s="49">
        <f t="shared" si="48"/>
        <v>7.9604519543333824E-4</v>
      </c>
      <c r="J80" s="49">
        <f t="shared" si="48"/>
        <v>9.7353232316042002E-4</v>
      </c>
      <c r="K80" s="49">
        <f t="shared" si="48"/>
        <v>1.1813537761529132E-3</v>
      </c>
      <c r="L80" s="49">
        <f t="shared" si="48"/>
        <v>1.4232416840499779E-3</v>
      </c>
      <c r="M80" s="49">
        <f t="shared" si="48"/>
        <v>1.7032224625279169E-3</v>
      </c>
      <c r="N80" s="49">
        <f t="shared" si="48"/>
        <v>3.3554432000000001E-3</v>
      </c>
    </row>
    <row r="81" spans="1:14" x14ac:dyDescent="0.25">
      <c r="A81" s="22"/>
      <c r="B81" s="59" t="s">
        <v>204</v>
      </c>
      <c r="C81" s="49">
        <f t="shared" ref="C81:N81" si="49">C22^6</f>
        <v>2.9859839999999999E-6</v>
      </c>
      <c r="D81" s="49">
        <f t="shared" si="49"/>
        <v>4.8092624484751853E-5</v>
      </c>
      <c r="E81" s="49">
        <f t="shared" si="49"/>
        <v>6.5074728366382636E-5</v>
      </c>
      <c r="F81" s="49">
        <f t="shared" si="49"/>
        <v>8.678472013534441E-5</v>
      </c>
      <c r="G81" s="49">
        <f t="shared" si="49"/>
        <v>1.1422168691385502E-4</v>
      </c>
      <c r="H81" s="49">
        <f t="shared" si="49"/>
        <v>1.4853533501009382E-4</v>
      </c>
      <c r="I81" s="49">
        <f t="shared" si="49"/>
        <v>1.9104042279129941E-4</v>
      </c>
      <c r="J81" s="49">
        <f t="shared" si="49"/>
        <v>2.4323185425201868E-4</v>
      </c>
      <c r="K81" s="49">
        <f t="shared" si="49"/>
        <v>3.068004332775083E-4</v>
      </c>
      <c r="L81" s="49">
        <f t="shared" si="49"/>
        <v>3.836492786022911E-4</v>
      </c>
      <c r="M81" s="49">
        <f t="shared" si="49"/>
        <v>4.7591089946386002E-4</v>
      </c>
      <c r="N81" s="49">
        <f t="shared" si="49"/>
        <v>1.073741824E-3</v>
      </c>
    </row>
    <row r="82" spans="1:14" x14ac:dyDescent="0.25">
      <c r="A82" s="75" t="s">
        <v>205</v>
      </c>
      <c r="B82" s="73" t="s">
        <v>210</v>
      </c>
      <c r="C82" s="77">
        <f xml:space="preserve"> 81963.95967*C80 - 69372.12684*C79 + 23700.28578*C78 - 4016.65661*C77 + 339.10948*C76 - 10.91</f>
        <v>0.55189762355814054</v>
      </c>
      <c r="D82" s="77">
        <f xml:space="preserve"> 81963.95967*D80 - 69372.12684*D79 + 23700.28578*D78 - 4016.65661*D77 + 339.10948*D76 - 10.91</f>
        <v>0.97563604675603344</v>
      </c>
      <c r="E82" s="77">
        <f t="shared" ref="E82:N82" si="50" xml:space="preserve"> 81963.95967*E80 - 69372.12684*E79 + 23700.28578*E78 - 4016.65661*E77 + 339.10948*E76 - 10.91</f>
        <v>1.087845374816137</v>
      </c>
      <c r="F82" s="77">
        <f t="shared" si="50"/>
        <v>1.2222570072945409</v>
      </c>
      <c r="G82" s="77">
        <f t="shared" si="50"/>
        <v>1.3863944767527805</v>
      </c>
      <c r="H82" s="77">
        <f t="shared" si="50"/>
        <v>1.5916022498159741</v>
      </c>
      <c r="I82" s="77">
        <f t="shared" si="50"/>
        <v>1.8539613037990925</v>
      </c>
      <c r="J82" s="77">
        <f t="shared" si="50"/>
        <v>2.1952047033330579</v>
      </c>
      <c r="K82" s="77">
        <f t="shared" si="50"/>
        <v>2.6436331769910133</v>
      </c>
      <c r="L82" s="77">
        <f t="shared" si="50"/>
        <v>3.2350306939143785</v>
      </c>
      <c r="M82" s="77">
        <f t="shared" si="50"/>
        <v>4.0135800404393187</v>
      </c>
      <c r="N82" s="77">
        <f t="shared" si="50"/>
        <v>10.516299561017544</v>
      </c>
    </row>
    <row r="83" spans="1:14" x14ac:dyDescent="0.25">
      <c r="A83" s="75" t="s">
        <v>132</v>
      </c>
      <c r="B83" s="73" t="s">
        <v>107</v>
      </c>
      <c r="C83" s="77">
        <f t="shared" ref="C83:N83" si="51" xml:space="preserve"> 211855.99746*C80 - 178462.85551*C79 + 59866.35075*C78 - 9901.7271*C77 + 808.21686*C76 - 25.47</f>
        <v>0.64580449344308022</v>
      </c>
      <c r="D83" s="77">
        <f t="shared" si="51"/>
        <v>1.1545131408015266</v>
      </c>
      <c r="E83" s="77">
        <f t="shared" si="51"/>
        <v>1.2971163919089577</v>
      </c>
      <c r="F83" s="77">
        <f t="shared" si="51"/>
        <v>1.4672996059516947</v>
      </c>
      <c r="G83" s="77">
        <f t="shared" si="51"/>
        <v>1.6805023992246504</v>
      </c>
      <c r="H83" s="77">
        <f t="shared" si="51"/>
        <v>1.9622323661057521</v>
      </c>
      <c r="I83" s="77">
        <f t="shared" si="51"/>
        <v>2.3504316118592783</v>
      </c>
      <c r="J83" s="77">
        <f t="shared" si="51"/>
        <v>2.8978432854424909</v>
      </c>
      <c r="K83" s="77">
        <f t="shared" si="51"/>
        <v>3.6743781123092276</v>
      </c>
      <c r="L83" s="77">
        <f t="shared" si="51"/>
        <v>4.7694809272164775</v>
      </c>
      <c r="M83" s="77">
        <f t="shared" si="51"/>
        <v>6.2944972070279732</v>
      </c>
      <c r="N83" s="77">
        <f t="shared" si="51"/>
        <v>20.475215799836889</v>
      </c>
    </row>
    <row r="84" spans="1:14" x14ac:dyDescent="0.25">
      <c r="A84" s="75" t="s">
        <v>133</v>
      </c>
      <c r="B84" s="73" t="s">
        <v>108</v>
      </c>
      <c r="C84" s="77">
        <f t="shared" ref="C84:N84" si="52" xml:space="preserve"> 189330.79305*C80 - 133987.07846*C79 + 36767.07838*C78 - 4746.53331*C77 + 281.6148*C76 - 5.18</f>
        <v>0.72480317679617201</v>
      </c>
      <c r="D84" s="77">
        <f t="shared" si="52"/>
        <v>1.4414804580017062</v>
      </c>
      <c r="E84" s="77">
        <f t="shared" si="52"/>
        <v>1.6371683597634004</v>
      </c>
      <c r="F84" s="77">
        <f t="shared" si="52"/>
        <v>1.8945947151956446</v>
      </c>
      <c r="G84" s="77">
        <f t="shared" si="52"/>
        <v>2.2518480435762882</v>
      </c>
      <c r="H84" s="77">
        <f t="shared" si="52"/>
        <v>2.7617937662673953</v>
      </c>
      <c r="I84" s="77">
        <f t="shared" si="52"/>
        <v>3.4941891222147134</v>
      </c>
      <c r="J84" s="77">
        <f t="shared" si="52"/>
        <v>4.5377980834476759</v>
      </c>
      <c r="K84" s="77">
        <f t="shared" si="52"/>
        <v>6.0025062705793104</v>
      </c>
      <c r="L84" s="77">
        <f t="shared" si="52"/>
        <v>8.0214358683059643</v>
      </c>
      <c r="M84" s="77">
        <f t="shared" si="52"/>
        <v>10.753060540907192</v>
      </c>
      <c r="N84" s="77">
        <f t="shared" si="52"/>
        <v>34.007723669340471</v>
      </c>
    </row>
    <row r="85" spans="1:14" x14ac:dyDescent="0.25">
      <c r="A85" s="75" t="s">
        <v>134</v>
      </c>
      <c r="B85" s="73" t="s">
        <v>109</v>
      </c>
      <c r="C85" s="77">
        <f t="shared" ref="C85:N85" si="53" xml:space="preserve"> -183277.76453*C80 + 217604.57034*C79 - 91711.5592*C78 + 18157.61937*C77 - 1715.03079*C76 + 63.08</f>
        <v>0.83039626574954184</v>
      </c>
      <c r="D85" s="77">
        <f t="shared" si="53"/>
        <v>1.8877715631385428</v>
      </c>
      <c r="E85" s="77">
        <f t="shared" si="53"/>
        <v>2.2268853122767069</v>
      </c>
      <c r="F85" s="77">
        <f t="shared" si="53"/>
        <v>2.7043805834831716</v>
      </c>
      <c r="G85" s="77">
        <f t="shared" si="53"/>
        <v>3.3760918981669903</v>
      </c>
      <c r="H85" s="77">
        <f t="shared" si="53"/>
        <v>4.303470626604863</v>
      </c>
      <c r="I85" s="77">
        <f t="shared" si="53"/>
        <v>5.5515376876649754</v>
      </c>
      <c r="J85" s="77">
        <f t="shared" si="53"/>
        <v>7.1868362485309518</v>
      </c>
      <c r="K85" s="77">
        <f t="shared" si="53"/>
        <v>9.275384424423649</v>
      </c>
      <c r="L85" s="77">
        <f t="shared" si="53"/>
        <v>11.880627978325563</v>
      </c>
      <c r="M85" s="77">
        <f t="shared" si="53"/>
        <v>15.061393020704841</v>
      </c>
      <c r="N85" s="77">
        <f t="shared" si="53"/>
        <v>35.17716960736864</v>
      </c>
    </row>
    <row r="86" spans="1:14" x14ac:dyDescent="0.25">
      <c r="A86" s="75" t="s">
        <v>206</v>
      </c>
      <c r="B86" s="73" t="s">
        <v>211</v>
      </c>
      <c r="C86" s="77">
        <f xml:space="preserve"> 108656.82305*C80 - 92884.66951*C79 + 31771.52118*C78 - 5373.60627*C77 + 450.34486*C76 - 14.5</f>
        <v>0.50580590076415888</v>
      </c>
      <c r="D86" s="77">
        <f xml:space="preserve"> 108656.82305*D80 - 92884.66951*D79 + 31771.52118*D78 - 5373.60627*D77 + 450.34486*D76 - 14.5</f>
        <v>0.86169522874551774</v>
      </c>
      <c r="E86" s="77">
        <f t="shared" ref="E86:N86" si="54" xml:space="preserve"> 108656.82305*E80 - 92884.66951*E79 + 31771.52118*E78 - 5373.60627*E77 + 450.34486*E76 - 14.5</f>
        <v>0.95742845823563982</v>
      </c>
      <c r="F86" s="77">
        <f t="shared" si="54"/>
        <v>1.0711718067598213</v>
      </c>
      <c r="G86" s="77">
        <f t="shared" si="54"/>
        <v>1.2105788998564577</v>
      </c>
      <c r="H86" s="77">
        <f t="shared" si="54"/>
        <v>1.3881600495262205</v>
      </c>
      <c r="I86" s="77">
        <f t="shared" si="54"/>
        <v>1.6224960029069848</v>
      </c>
      <c r="J86" s="77">
        <f t="shared" si="54"/>
        <v>1.9394516909492836</v>
      </c>
      <c r="K86" s="77">
        <f t="shared" si="54"/>
        <v>2.3733899770909801</v>
      </c>
      <c r="L86" s="77">
        <f t="shared" si="54"/>
        <v>2.9683854059330059</v>
      </c>
      <c r="M86" s="77">
        <f t="shared" si="54"/>
        <v>3.7794379519140904</v>
      </c>
      <c r="N86" s="77">
        <f t="shared" si="54"/>
        <v>11.067725053788109</v>
      </c>
    </row>
    <row r="87" spans="1:14" x14ac:dyDescent="0.25">
      <c r="A87" s="75" t="s">
        <v>135</v>
      </c>
      <c r="B87" s="73" t="s">
        <v>110</v>
      </c>
      <c r="C87" s="77">
        <f t="shared" ref="C87:N87" si="55" xml:space="preserve"> 236068.11145*C80 - 206198.08468*C79 + 71647.62804*C78 - 12274.26804*C77 + 1036.91016*C76 - 34.06</f>
        <v>0.54375586870779102</v>
      </c>
      <c r="D87" s="77">
        <f t="shared" si="55"/>
        <v>1.0255269641717177</v>
      </c>
      <c r="E87" s="77">
        <f t="shared" si="55"/>
        <v>1.1656371300628621</v>
      </c>
      <c r="F87" s="77">
        <f t="shared" si="55"/>
        <v>1.3285060214050475</v>
      </c>
      <c r="G87" s="77">
        <f t="shared" si="55"/>
        <v>1.5250545676922229</v>
      </c>
      <c r="H87" s="77">
        <f t="shared" si="55"/>
        <v>1.7757589335439832</v>
      </c>
      <c r="I87" s="77">
        <f t="shared" si="55"/>
        <v>2.1132875124019961</v>
      </c>
      <c r="J87" s="77">
        <f t="shared" si="55"/>
        <v>2.5851379202268276</v>
      </c>
      <c r="K87" s="77">
        <f t="shared" si="55"/>
        <v>3.2562739891955061</v>
      </c>
      <c r="L87" s="77">
        <f t="shared" si="55"/>
        <v>4.2117627613987452</v>
      </c>
      <c r="M87" s="77">
        <f t="shared" si="55"/>
        <v>5.5594114825370866</v>
      </c>
      <c r="N87" s="77">
        <f t="shared" si="55"/>
        <v>18.585190406308016</v>
      </c>
    </row>
    <row r="88" spans="1:14" x14ac:dyDescent="0.25">
      <c r="A88" s="75" t="s">
        <v>136</v>
      </c>
      <c r="B88" s="73" t="s">
        <v>111</v>
      </c>
      <c r="C88" s="77">
        <f t="shared" ref="C88:N88" si="56" xml:space="preserve"> 153905.69184*C80 - 114943.493048*C79 + 33802.921153*C78 - 4780.049092*C77 + 322.837994*C76 - 7.67</f>
        <v>0.64428350034379811</v>
      </c>
      <c r="D88" s="77">
        <f t="shared" si="56"/>
        <v>1.2883678265093668</v>
      </c>
      <c r="E88" s="77">
        <f t="shared" si="56"/>
        <v>1.4705491291241106</v>
      </c>
      <c r="F88" s="77">
        <f t="shared" si="56"/>
        <v>1.6988514467864793</v>
      </c>
      <c r="G88" s="77">
        <f t="shared" si="56"/>
        <v>1.9982703715486299</v>
      </c>
      <c r="H88" s="77">
        <f t="shared" si="56"/>
        <v>2.4044477714647758</v>
      </c>
      <c r="I88" s="77">
        <f t="shared" si="56"/>
        <v>2.9653909907691247</v>
      </c>
      <c r="J88" s="77">
        <f t="shared" si="56"/>
        <v>3.7431920500545335</v>
      </c>
      <c r="K88" s="77">
        <f t="shared" si="56"/>
        <v>4.8157468464505957</v>
      </c>
      <c r="L88" s="77">
        <f t="shared" si="56"/>
        <v>6.2784743538027232</v>
      </c>
      <c r="M88" s="77">
        <f t="shared" si="56"/>
        <v>8.2460358228493238</v>
      </c>
      <c r="N88" s="77">
        <f t="shared" si="56"/>
        <v>24.967176863531179</v>
      </c>
    </row>
    <row r="89" spans="1:14" x14ac:dyDescent="0.25">
      <c r="A89" s="75" t="s">
        <v>137</v>
      </c>
      <c r="B89" s="73" t="s">
        <v>112</v>
      </c>
      <c r="C89" s="77">
        <f t="shared" ref="C89:N89" si="57">-9980220.15991*C81 + 10826099.46985*C80 - 4792166.95182*C79 + 1110018.19846*C78 - 141933.11234*C77 + 9505.46225*C76 - 260.06</f>
        <v>0.75358072768784723</v>
      </c>
      <c r="D89" s="77">
        <f t="shared" si="57"/>
        <v>1.7455523215252811</v>
      </c>
      <c r="E89" s="77">
        <f t="shared" si="57"/>
        <v>2.0220183348944261</v>
      </c>
      <c r="F89" s="77">
        <f t="shared" si="57"/>
        <v>2.4036335052211939</v>
      </c>
      <c r="G89" s="77">
        <f t="shared" si="57"/>
        <v>2.9487696069926983</v>
      </c>
      <c r="H89" s="77">
        <f t="shared" si="57"/>
        <v>3.7078276993988197</v>
      </c>
      <c r="I89" s="77">
        <f t="shared" si="57"/>
        <v>4.7001275836386753</v>
      </c>
      <c r="J89" s="77">
        <f t="shared" si="57"/>
        <v>5.8842033770887952</v>
      </c>
      <c r="K89" s="77">
        <f t="shared" si="57"/>
        <v>7.1215052043993978</v>
      </c>
      <c r="L89" s="77">
        <f t="shared" si="57"/>
        <v>8.1335070055569645</v>
      </c>
      <c r="M89" s="77">
        <f t="shared" si="57"/>
        <v>8.4522204608001061</v>
      </c>
      <c r="N89" s="77">
        <f t="shared" si="57"/>
        <v>-18.516942986341803</v>
      </c>
    </row>
    <row r="90" spans="1:14" x14ac:dyDescent="0.25">
      <c r="A90" s="75" t="s">
        <v>207</v>
      </c>
      <c r="B90" s="73" t="s">
        <v>212</v>
      </c>
      <c r="C90" s="77">
        <f xml:space="preserve"> 12205.28697*C80 - 8294.72385*C79 + 2539.32664*C78 - 405.17899*C77 + 34.1222*C76 - 0.78</f>
        <v>0.45175563711590416</v>
      </c>
      <c r="D90" s="77">
        <f t="shared" ref="D90:N90" si="58" xml:space="preserve"> 12205.28697*D80 - 8294.72385*D79 + 2539.32664*D78 - 405.17899*D77 + 34.1222*D76 - 0.78</f>
        <v>0.71089150922536626</v>
      </c>
      <c r="E90" s="77">
        <f t="shared" si="58"/>
        <v>0.7910517934576069</v>
      </c>
      <c r="F90" s="77">
        <f t="shared" si="58"/>
        <v>0.89177574702287843</v>
      </c>
      <c r="G90" s="77">
        <f t="shared" si="58"/>
        <v>1.0181102863931939</v>
      </c>
      <c r="H90" s="77">
        <f t="shared" si="58"/>
        <v>1.1761326187560395</v>
      </c>
      <c r="I90" s="77">
        <f t="shared" si="58"/>
        <v>1.3730865809066171</v>
      </c>
      <c r="J90" s="77">
        <f t="shared" si="58"/>
        <v>1.6175189781400754</v>
      </c>
      <c r="K90" s="77">
        <f t="shared" si="58"/>
        <v>1.9194159231437713</v>
      </c>
      <c r="L90" s="77">
        <f t="shared" si="58"/>
        <v>2.2903391748895059</v>
      </c>
      <c r="M90" s="77">
        <f t="shared" si="58"/>
        <v>2.7435624775257983</v>
      </c>
      <c r="N90" s="77">
        <f t="shared" si="58"/>
        <v>5.8350943736791239</v>
      </c>
    </row>
    <row r="91" spans="1:14" x14ac:dyDescent="0.25">
      <c r="A91" s="75" t="s">
        <v>138</v>
      </c>
      <c r="B91" s="73" t="s">
        <v>113</v>
      </c>
      <c r="C91" s="77">
        <f t="shared" ref="C91:N91" si="59" xml:space="preserve"> 78193.22061*C80 - 62747.6239*C79 + 20041.29771*C78 - 3113.11297*C77 + 235.21739*C76 - 6.47</f>
        <v>0.49297273005874853</v>
      </c>
      <c r="D91" s="77">
        <f t="shared" si="59"/>
        <v>0.89676373873247339</v>
      </c>
      <c r="E91" s="77">
        <f t="shared" si="59"/>
        <v>1.0119828176615036</v>
      </c>
      <c r="F91" s="77">
        <f t="shared" si="59"/>
        <v>1.1487967809367055</v>
      </c>
      <c r="G91" s="77">
        <f t="shared" si="59"/>
        <v>1.315837738824384</v>
      </c>
      <c r="H91" s="77">
        <f t="shared" si="59"/>
        <v>1.5261609973303001</v>
      </c>
      <c r="I91" s="77">
        <f t="shared" si="59"/>
        <v>1.7981185138667461</v>
      </c>
      <c r="J91" s="77">
        <f t="shared" si="59"/>
        <v>2.1562323529207452</v>
      </c>
      <c r="K91" s="77">
        <f t="shared" si="59"/>
        <v>2.6320681417210769</v>
      </c>
      <c r="L91" s="77">
        <f t="shared" si="59"/>
        <v>3.2651085259066113</v>
      </c>
      <c r="M91" s="77">
        <f t="shared" si="59"/>
        <v>4.1036266251934128</v>
      </c>
      <c r="N91" s="77">
        <f t="shared" si="59"/>
        <v>11.146425629540445</v>
      </c>
    </row>
    <row r="92" spans="1:14" x14ac:dyDescent="0.25">
      <c r="A92" s="75" t="s">
        <v>139</v>
      </c>
      <c r="B92" s="73" t="s">
        <v>114</v>
      </c>
      <c r="C92" s="77">
        <f t="shared" ref="C92:N92" si="60" xml:space="preserve"> 112229.10217*C80 - 90275.82325*C79 + 29064.78003*C78 - 4576.65461*C77 + 352.54132*C76 - 10.15</f>
        <v>0.54809639383654307</v>
      </c>
      <c r="D92" s="77">
        <f t="shared" si="60"/>
        <v>1.1225910511845196</v>
      </c>
      <c r="E92" s="77">
        <f t="shared" si="60"/>
        <v>1.2927419328623753</v>
      </c>
      <c r="F92" s="77">
        <f t="shared" si="60"/>
        <v>1.4977677218398124</v>
      </c>
      <c r="G92" s="77">
        <f t="shared" si="60"/>
        <v>1.7507638467177795</v>
      </c>
      <c r="H92" s="77">
        <f t="shared" si="60"/>
        <v>2.0711254254436877</v>
      </c>
      <c r="I92" s="77">
        <f t="shared" si="60"/>
        <v>2.4858009180522824</v>
      </c>
      <c r="J92" s="77">
        <f t="shared" si="60"/>
        <v>3.0305457794071113</v>
      </c>
      <c r="K92" s="77">
        <f t="shared" si="60"/>
        <v>3.7511761119417084</v>
      </c>
      <c r="L92" s="77">
        <f t="shared" si="60"/>
        <v>4.7048223184011757</v>
      </c>
      <c r="M92" s="77">
        <f t="shared" si="60"/>
        <v>5.9611827545826994</v>
      </c>
      <c r="N92" s="77">
        <f t="shared" si="60"/>
        <v>16.376263675551918</v>
      </c>
    </row>
    <row r="93" spans="1:14" x14ac:dyDescent="0.25">
      <c r="A93" s="75" t="s">
        <v>140</v>
      </c>
      <c r="B93" s="73" t="s">
        <v>115</v>
      </c>
      <c r="C93" s="77">
        <f t="shared" ref="C93:N93" si="61" xml:space="preserve"> -6333849.33191*C81 + 7003086.05505*C80 - 3170231.50477*C79 + 753388.16765*C78 - 99065.81153*C77 + 6833.52117*C76 - 192.64</f>
        <v>0.65682139961882058</v>
      </c>
      <c r="D93" s="77">
        <f t="shared" si="61"/>
        <v>1.5343938695356201</v>
      </c>
      <c r="E93" s="77">
        <f t="shared" si="61"/>
        <v>1.8047076804729159</v>
      </c>
      <c r="F93" s="77">
        <f t="shared" si="61"/>
        <v>2.1444824813846708</v>
      </c>
      <c r="G93" s="77">
        <f t="shared" si="61"/>
        <v>2.5844048789548424</v>
      </c>
      <c r="H93" s="77">
        <f t="shared" si="61"/>
        <v>3.1524536708576534</v>
      </c>
      <c r="I93" s="77">
        <f t="shared" si="61"/>
        <v>3.8607120223729225</v>
      </c>
      <c r="J93" s="77">
        <f t="shared" si="61"/>
        <v>4.6879948994511551</v>
      </c>
      <c r="K93" s="77">
        <f t="shared" si="61"/>
        <v>5.5582917582315758</v>
      </c>
      <c r="L93" s="77">
        <f t="shared" si="61"/>
        <v>6.3150244910071933</v>
      </c>
      <c r="M93" s="77">
        <f t="shared" si="61"/>
        <v>6.6911206286437164</v>
      </c>
      <c r="N93" s="77">
        <f t="shared" si="61"/>
        <v>-7.9770043277518425</v>
      </c>
    </row>
    <row r="94" spans="1:14" x14ac:dyDescent="0.25">
      <c r="A94" s="75" t="s">
        <v>208</v>
      </c>
      <c r="B94" s="73" t="s">
        <v>213</v>
      </c>
      <c r="C94" s="77">
        <f xml:space="preserve"> 53881.87664*C80 - 47719.69516*C79 + 17198.62503*C78 - 3090.1397*C77 + 275.82793*C76 - 9.37</f>
        <v>0.39616149627084063</v>
      </c>
      <c r="D94" s="77">
        <f t="shared" ref="D94:N94" si="62" xml:space="preserve"> 53881.87664*D80 - 47719.69516*D79 + 17198.62503*D78 - 3090.1397*D77 + 275.82793*D76 - 9.37</f>
        <v>0.6057907595476717</v>
      </c>
      <c r="E94" s="77">
        <f t="shared" si="62"/>
        <v>0.67395580559207069</v>
      </c>
      <c r="F94" s="77">
        <f t="shared" si="62"/>
        <v>0.7593098950034527</v>
      </c>
      <c r="G94" s="77">
        <f t="shared" si="62"/>
        <v>0.86610687921854712</v>
      </c>
      <c r="H94" s="77">
        <f t="shared" si="62"/>
        <v>1.0006329916038847</v>
      </c>
      <c r="I94" s="77">
        <f t="shared" si="62"/>
        <v>1.1718087337850331</v>
      </c>
      <c r="J94" s="77">
        <f t="shared" si="62"/>
        <v>1.3917907619760737</v>
      </c>
      <c r="K94" s="77">
        <f t="shared" si="62"/>
        <v>1.6765737733087942</v>
      </c>
      <c r="L94" s="77">
        <f t="shared" si="62"/>
        <v>2.0465923921623723</v>
      </c>
      <c r="M94" s="77">
        <f t="shared" si="62"/>
        <v>2.5273230564924685</v>
      </c>
      <c r="N94" s="77">
        <f t="shared" si="62"/>
        <v>6.4494831570452842</v>
      </c>
    </row>
    <row r="95" spans="1:14" x14ac:dyDescent="0.25">
      <c r="A95" s="75" t="s">
        <v>148</v>
      </c>
      <c r="B95" s="73" t="s">
        <v>116</v>
      </c>
      <c r="C95" s="77">
        <f t="shared" ref="C95:N95" si="63" xml:space="preserve"> -13296.8167*C80 + 17338.63401*C79 - 7542.52455*C78 + 1552.59022*C77 - 152.78609*C76 + 6.19</f>
        <v>0.4439577446041616</v>
      </c>
      <c r="D95" s="77">
        <f t="shared" si="63"/>
        <v>0.78504353154790874</v>
      </c>
      <c r="E95" s="77">
        <f t="shared" si="63"/>
        <v>0.88951922254693638</v>
      </c>
      <c r="F95" s="77">
        <f t="shared" si="63"/>
        <v>1.0186157895562102</v>
      </c>
      <c r="G95" s="77">
        <f t="shared" si="63"/>
        <v>1.1786044201359642</v>
      </c>
      <c r="H95" s="77">
        <f t="shared" si="63"/>
        <v>1.3765154046159322</v>
      </c>
      <c r="I95" s="77">
        <f t="shared" si="63"/>
        <v>1.6199896042941857</v>
      </c>
      <c r="J95" s="77">
        <f t="shared" si="63"/>
        <v>1.9171299196357436</v>
      </c>
      <c r="K95" s="77">
        <f t="shared" si="63"/>
        <v>2.2763527584712007</v>
      </c>
      <c r="L95" s="77">
        <f t="shared" si="63"/>
        <v>2.7062395041954685</v>
      </c>
      <c r="M95" s="77">
        <f t="shared" si="63"/>
        <v>3.2153879839665107</v>
      </c>
      <c r="N95" s="77">
        <f t="shared" si="63"/>
        <v>6.3222870526361516</v>
      </c>
    </row>
    <row r="96" spans="1:14" x14ac:dyDescent="0.25">
      <c r="A96" s="75" t="s">
        <v>149</v>
      </c>
      <c r="B96" s="73" t="s">
        <v>117</v>
      </c>
      <c r="C96" s="77">
        <f t="shared" ref="C96:N96" si="64" xml:space="preserve"> 57255.69581*C80 - 44678.74747*C79 + 14023.41918*C78 - 2111.06396*C77 + 151.68701*C76 - 3.73</f>
        <v>0.46570837364019413</v>
      </c>
      <c r="D96" s="77">
        <f t="shared" si="64"/>
        <v>1.0299229126329768</v>
      </c>
      <c r="E96" s="77">
        <f t="shared" si="64"/>
        <v>1.1983002467022499</v>
      </c>
      <c r="F96" s="77">
        <f t="shared" si="64"/>
        <v>1.3985077968695454</v>
      </c>
      <c r="G96" s="77">
        <f t="shared" si="64"/>
        <v>1.6391080832179239</v>
      </c>
      <c r="H96" s="77">
        <f t="shared" si="64"/>
        <v>1.9321896196733346</v>
      </c>
      <c r="I96" s="77">
        <f t="shared" si="64"/>
        <v>2.294006487507215</v>
      </c>
      <c r="J96" s="77">
        <f t="shared" si="64"/>
        <v>2.745617908839773</v>
      </c>
      <c r="K96" s="77">
        <f t="shared" si="64"/>
        <v>3.3135278201425504</v>
      </c>
      <c r="L96" s="77">
        <f t="shared" si="64"/>
        <v>4.0303244457417584</v>
      </c>
      <c r="M96" s="77">
        <f t="shared" si="64"/>
        <v>4.9353198713205337</v>
      </c>
      <c r="N96" s="77">
        <f t="shared" si="64"/>
        <v>11.783905482145865</v>
      </c>
    </row>
    <row r="97" spans="1:14" x14ac:dyDescent="0.25">
      <c r="A97" s="75" t="s">
        <v>150</v>
      </c>
      <c r="B97" s="73" t="s">
        <v>118</v>
      </c>
      <c r="C97" s="77">
        <f t="shared" ref="C97:N97" si="65" xml:space="preserve"> 143089.62452*C80 - 117343.50532*C79 + 38649.35375*C78 - 6217.22547*C77 + 488.33352*C76 - 14.52</f>
        <v>0.56623739370087023</v>
      </c>
      <c r="D97" s="77">
        <f t="shared" si="65"/>
        <v>1.4418008397395248</v>
      </c>
      <c r="E97" s="77">
        <f t="shared" si="65"/>
        <v>1.7078371456877299</v>
      </c>
      <c r="F97" s="77">
        <f t="shared" si="65"/>
        <v>2.0249986945134388</v>
      </c>
      <c r="G97" s="77">
        <f t="shared" si="65"/>
        <v>2.4085341279500589</v>
      </c>
      <c r="H97" s="77">
        <f t="shared" si="65"/>
        <v>2.8812155267461854</v>
      </c>
      <c r="I97" s="77">
        <f t="shared" si="65"/>
        <v>3.4749367901988215</v>
      </c>
      <c r="J97" s="77">
        <f t="shared" si="65"/>
        <v>4.2323120156874516</v>
      </c>
      <c r="K97" s="77">
        <f t="shared" si="65"/>
        <v>5.2082738782085691</v>
      </c>
      <c r="L97" s="77">
        <f t="shared" si="65"/>
        <v>6.4716720099087688</v>
      </c>
      <c r="M97" s="77">
        <f t="shared" si="65"/>
        <v>8.1068713796197578</v>
      </c>
      <c r="N97" s="77">
        <f t="shared" si="65"/>
        <v>21.258135193944394</v>
      </c>
    </row>
    <row r="98" spans="1:14" x14ac:dyDescent="0.25">
      <c r="A98" s="75" t="s">
        <v>209</v>
      </c>
      <c r="B98" s="73" t="s">
        <v>214</v>
      </c>
      <c r="C98" s="77">
        <f xml:space="preserve"> 30265.1424899999*C80 - 26816.90085*C79 + 9821.16503*C78 - 1803.67859*C77 + 165.46921*C76 - 5.71</f>
        <v>0.33664770919116993</v>
      </c>
      <c r="D98" s="77">
        <f xml:space="preserve"> 30265.1424899999*D80 - 26816.90085*D79 + 9821.16503*D78 - 1803.67859*D77 + 165.46921*D76 - 5.71</f>
        <v>0.52925474185183052</v>
      </c>
      <c r="E98" s="77">
        <f t="shared" ref="E98:N98" si="66" xml:space="preserve"> 30265.1424899999*E80 - 26816.90085*E79 + 9821.16503*E78 - 1803.67859*E77 + 165.46921*E76 - 5.71</f>
        <v>0.58746902743175244</v>
      </c>
      <c r="F98" s="77">
        <f t="shared" si="66"/>
        <v>0.6603208948321333</v>
      </c>
      <c r="G98" s="77">
        <f t="shared" si="66"/>
        <v>0.75106238340823328</v>
      </c>
      <c r="H98" s="77">
        <f t="shared" si="66"/>
        <v>0.86408415895988444</v>
      </c>
      <c r="I98" s="77">
        <f t="shared" si="66"/>
        <v>1.0052535898464976</v>
      </c>
      <c r="J98" s="77">
        <f t="shared" si="66"/>
        <v>1.1822528231018632</v>
      </c>
      <c r="K98" s="77">
        <f t="shared" si="66"/>
        <v>1.4049168605493927</v>
      </c>
      <c r="L98" s="77">
        <f t="shared" si="66"/>
        <v>1.6855716349168484</v>
      </c>
      <c r="M98" s="77">
        <f t="shared" si="66"/>
        <v>2.039372085951336</v>
      </c>
      <c r="N98" s="77">
        <f t="shared" si="66"/>
        <v>4.7207755952452795</v>
      </c>
    </row>
    <row r="99" spans="1:14" x14ac:dyDescent="0.25">
      <c r="A99" s="75" t="s">
        <v>151</v>
      </c>
      <c r="B99" s="73" t="s">
        <v>119</v>
      </c>
      <c r="C99" s="77">
        <f t="shared" ref="C99:N99" si="67" xml:space="preserve"> 54477.25649*C80 - 47053.5012*C79 + 16421.96104*C78 - 2825.53995*C77 + 239.64014*C76 - 7.66</f>
        <v>0.38474465697996862</v>
      </c>
      <c r="D99" s="77">
        <f t="shared" si="67"/>
        <v>0.68231803329862473</v>
      </c>
      <c r="E99" s="77">
        <f t="shared" si="67"/>
        <v>0.77491807723169259</v>
      </c>
      <c r="F99" s="77">
        <f t="shared" si="67"/>
        <v>0.88591877081845993</v>
      </c>
      <c r="G99" s="77">
        <f t="shared" si="67"/>
        <v>1.0197029675710674</v>
      </c>
      <c r="H99" s="77">
        <f t="shared" si="67"/>
        <v>1.182978843232835</v>
      </c>
      <c r="I99" s="77">
        <f t="shared" si="67"/>
        <v>1.3853884327852803</v>
      </c>
      <c r="J99" s="77">
        <f t="shared" si="67"/>
        <v>1.6401161674550373</v>
      </c>
      <c r="K99" s="77">
        <f t="shared" si="67"/>
        <v>1.9644974117212222</v>
      </c>
      <c r="L99" s="77">
        <f t="shared" si="67"/>
        <v>2.3806270003220185</v>
      </c>
      <c r="M99" s="77">
        <f t="shared" si="67"/>
        <v>2.9159677752619153</v>
      </c>
      <c r="N99" s="77">
        <f t="shared" si="67"/>
        <v>7.2079923798344474</v>
      </c>
    </row>
    <row r="100" spans="1:14" x14ac:dyDescent="0.25">
      <c r="A100" s="75" t="s">
        <v>152</v>
      </c>
      <c r="B100" s="73" t="s">
        <v>120</v>
      </c>
      <c r="C100" s="77">
        <f t="shared" ref="C100:N100" si="68" xml:space="preserve"> 76208.6211*C80 - 64528.35091*C79 + 21766.90698*C78 - 3544.03862*C77 + 277.89526*C76 - 8.01</f>
        <v>0.43220584929792061</v>
      </c>
      <c r="D100" s="77">
        <f t="shared" si="68"/>
        <v>0.93585196071352605</v>
      </c>
      <c r="E100" s="77">
        <f t="shared" si="68"/>
        <v>1.0936884217317111</v>
      </c>
      <c r="F100" s="77">
        <f t="shared" si="68"/>
        <v>1.276443596615648</v>
      </c>
      <c r="G100" s="77">
        <f t="shared" si="68"/>
        <v>1.4894361180752593</v>
      </c>
      <c r="H100" s="77">
        <f t="shared" si="68"/>
        <v>1.7415310472840826</v>
      </c>
      <c r="I100" s="77">
        <f t="shared" si="68"/>
        <v>2.0459911606213605</v>
      </c>
      <c r="J100" s="77">
        <f t="shared" si="68"/>
        <v>2.421328236414146</v>
      </c>
      <c r="K100" s="77">
        <f t="shared" si="68"/>
        <v>2.8921543416790367</v>
      </c>
      <c r="L100" s="77">
        <f t="shared" si="68"/>
        <v>3.4900331188647069</v>
      </c>
      <c r="M100" s="77">
        <f t="shared" si="68"/>
        <v>4.2543310725936347</v>
      </c>
      <c r="N100" s="77">
        <f t="shared" si="68"/>
        <v>10.349835045970101</v>
      </c>
    </row>
    <row r="101" spans="1:14" x14ac:dyDescent="0.25">
      <c r="A101" s="75" t="s">
        <v>153</v>
      </c>
      <c r="B101" s="73" t="s">
        <v>121</v>
      </c>
      <c r="C101" s="77">
        <f t="shared" ref="C101:N101" si="69" xml:space="preserve"> 73827.1017*C80 - 60714.3115*C79 + 20349.36168*C78 - 3304.30929*C77 + 259.49856*C76 - 7.45</f>
        <v>0.51880531142144104</v>
      </c>
      <c r="D101" s="77">
        <f t="shared" si="69"/>
        <v>1.318414664898337</v>
      </c>
      <c r="E101" s="77">
        <f t="shared" si="69"/>
        <v>1.5693451623646082</v>
      </c>
      <c r="F101" s="77">
        <f t="shared" si="69"/>
        <v>1.8676082732699326</v>
      </c>
      <c r="G101" s="77">
        <f t="shared" si="69"/>
        <v>2.2226103808041655</v>
      </c>
      <c r="H101" s="77">
        <f t="shared" si="69"/>
        <v>2.6476008504758637</v>
      </c>
      <c r="I101" s="77">
        <f t="shared" si="69"/>
        <v>3.1604967141437497</v>
      </c>
      <c r="J101" s="77">
        <f t="shared" si="69"/>
        <v>3.7847073540479981</v>
      </c>
      <c r="K101" s="77">
        <f t="shared" si="69"/>
        <v>4.5499591868419058</v>
      </c>
      <c r="L101" s="77">
        <f t="shared" si="69"/>
        <v>5.4931203476233916</v>
      </c>
      <c r="M101" s="77">
        <f t="shared" si="69"/>
        <v>6.6590253739661618</v>
      </c>
      <c r="N101" s="77">
        <f t="shared" si="69"/>
        <v>15.123098854973495</v>
      </c>
    </row>
    <row r="102" spans="1:14" x14ac:dyDescent="0.25">
      <c r="A102" s="75" t="s">
        <v>215</v>
      </c>
      <c r="B102" s="73" t="s">
        <v>219</v>
      </c>
      <c r="C102" s="160">
        <f xml:space="preserve"> 40733.9049*C80 - 36751.17452*C79 + 13395.20097*C78 - 2415.4317*C77 + 215.01129*C76 - 7.26</f>
        <v>0.29891195010047689</v>
      </c>
      <c r="D102" s="160">
        <f t="shared" ref="D102:N102" si="70" xml:space="preserve"> 40733.9049*D80 - 36751.17452*D79 + 13395.20097*D78 - 2415.4317*D77 + 215.01129*D76 - 7.26</f>
        <v>0.46785745060019757</v>
      </c>
      <c r="E102" s="160">
        <f t="shared" si="70"/>
        <v>0.52297556380609755</v>
      </c>
      <c r="F102" s="160">
        <f t="shared" si="70"/>
        <v>0.58995001522538892</v>
      </c>
      <c r="G102" s="160">
        <f t="shared" si="70"/>
        <v>0.67106460950679114</v>
      </c>
      <c r="H102" s="160">
        <f t="shared" si="70"/>
        <v>0.7699864460460244</v>
      </c>
      <c r="I102" s="160">
        <f t="shared" si="70"/>
        <v>0.89222093618334775</v>
      </c>
      <c r="J102" s="160">
        <f t="shared" si="70"/>
        <v>1.0455668204006425</v>
      </c>
      <c r="K102" s="160">
        <f t="shared" si="70"/>
        <v>1.2405711855194763</v>
      </c>
      <c r="L102" s="160">
        <f t="shared" si="70"/>
        <v>1.4909844818978595</v>
      </c>
      <c r="M102" s="160">
        <f t="shared" si="70"/>
        <v>1.814215540628096</v>
      </c>
      <c r="N102" s="160">
        <f t="shared" si="70"/>
        <v>4.4536605762765102</v>
      </c>
    </row>
    <row r="103" spans="1:14" x14ac:dyDescent="0.25">
      <c r="A103" s="75" t="s">
        <v>216</v>
      </c>
      <c r="B103" s="73" t="s">
        <v>141</v>
      </c>
      <c r="C103" s="77">
        <f t="shared" ref="C103:N103" si="71" xml:space="preserve"> 58644.91546*C80 - 51277.08978*C79+ 18140.63323*C78 - 3175.6924*C77 + 274.28544*C76 - 9.02</f>
        <v>0.33775228503347066</v>
      </c>
      <c r="D103" s="77">
        <f t="shared" si="71"/>
        <v>0.57982553439259377</v>
      </c>
      <c r="E103" s="77">
        <f t="shared" si="71"/>
        <v>0.66261745932829896</v>
      </c>
      <c r="F103" s="77">
        <f t="shared" si="71"/>
        <v>0.76396733454280152</v>
      </c>
      <c r="G103" s="77">
        <f t="shared" si="71"/>
        <v>0.8883034430254817</v>
      </c>
      <c r="H103" s="77">
        <f t="shared" si="71"/>
        <v>1.0424158944459769</v>
      </c>
      <c r="I103" s="77">
        <f t="shared" si="71"/>
        <v>1.2361117169048121</v>
      </c>
      <c r="J103" s="77">
        <f t="shared" si="71"/>
        <v>1.4828699486840939</v>
      </c>
      <c r="K103" s="77">
        <f t="shared" si="71"/>
        <v>1.800496729998553</v>
      </c>
      <c r="L103" s="77">
        <f t="shared" si="71"/>
        <v>2.2117803947460821</v>
      </c>
      <c r="M103" s="77">
        <f t="shared" si="71"/>
        <v>2.7451465622584088</v>
      </c>
      <c r="N103" s="77">
        <f t="shared" si="71"/>
        <v>7.0931345839390723</v>
      </c>
    </row>
    <row r="104" spans="1:14" x14ac:dyDescent="0.25">
      <c r="A104" s="75" t="s">
        <v>217</v>
      </c>
      <c r="B104" s="73" t="s">
        <v>142</v>
      </c>
      <c r="C104" s="77">
        <f xml:space="preserve"> 29372.07272*C80 - 22669.98997*C79 + 6956.69784*C78 - 960.8162*C77 + 55.83313*C76 - 0.51</f>
        <v>0.40541822724710452</v>
      </c>
      <c r="D104" s="77">
        <f t="shared" ref="D104:N104" si="72" xml:space="preserve"> 29372.07272*D80 - 22669.98997*D79 + 6956.69784*D78 - 960.8162*D77 + 55.83313*D76 - 0.51</f>
        <v>0.86739098586357222</v>
      </c>
      <c r="E104" s="77">
        <f t="shared" si="72"/>
        <v>1.0134870417597239</v>
      </c>
      <c r="F104" s="77">
        <f t="shared" si="72"/>
        <v>1.1836422017395323</v>
      </c>
      <c r="G104" s="77">
        <f t="shared" si="72"/>
        <v>1.3820668238346501</v>
      </c>
      <c r="H104" s="77">
        <f t="shared" si="72"/>
        <v>1.6148367825970966</v>
      </c>
      <c r="I104" s="77">
        <f t="shared" si="72"/>
        <v>1.8902215691977202</v>
      </c>
      <c r="J104" s="77">
        <f t="shared" si="72"/>
        <v>2.2190123915247781</v>
      </c>
      <c r="K104" s="77">
        <f t="shared" si="72"/>
        <v>2.6148502742824782</v>
      </c>
      <c r="L104" s="77">
        <f t="shared" si="72"/>
        <v>3.0945541590896077</v>
      </c>
      <c r="M104" s="77">
        <f t="shared" si="72"/>
        <v>3.6784490045778568</v>
      </c>
      <c r="N104" s="77">
        <f t="shared" si="72"/>
        <v>7.7703451915223756</v>
      </c>
    </row>
    <row r="105" spans="1:14" x14ac:dyDescent="0.25">
      <c r="A105" s="75" t="s">
        <v>218</v>
      </c>
      <c r="B105" s="73" t="s">
        <v>143</v>
      </c>
      <c r="C105" s="77">
        <f xml:space="preserve"> 4564.57887*C80 - 4085.11767*C79 + 2049.36962*C78 - 391.39311*C77 + 30.6636*C76 - 0.38</f>
        <v>0.47137324824678373</v>
      </c>
      <c r="D105" s="77">
        <f t="shared" ref="D105:N105" si="73" xml:space="preserve"> 4564.57887*D80 - 4085.11767*D79 + 2049.36962*D78 - 391.39311*D77 + 30.6636*D76 - 0.38</f>
        <v>1.1950285701087973</v>
      </c>
      <c r="E105" s="77">
        <f t="shared" si="73"/>
        <v>1.4308532726442778</v>
      </c>
      <c r="F105" s="77">
        <f t="shared" si="73"/>
        <v>1.7102179606620762</v>
      </c>
      <c r="G105" s="77">
        <f t="shared" si="73"/>
        <v>2.0366867588887176</v>
      </c>
      <c r="H105" s="77">
        <f t="shared" si="73"/>
        <v>2.413986317673225</v>
      </c>
      <c r="I105" s="77">
        <f t="shared" si="73"/>
        <v>2.8460568015160108</v>
      </c>
      <c r="J105" s="77">
        <f t="shared" si="73"/>
        <v>3.337102877597653</v>
      </c>
      <c r="K105" s="77">
        <f t="shared" si="73"/>
        <v>3.8916447043077875</v>
      </c>
      <c r="L105" s="77">
        <f t="shared" si="73"/>
        <v>4.5145689197739616</v>
      </c>
      <c r="M105" s="77">
        <f t="shared" si="73"/>
        <v>5.2111796303904336</v>
      </c>
      <c r="N105" s="77">
        <f t="shared" si="73"/>
        <v>8.9880629149859868</v>
      </c>
    </row>
    <row r="106" spans="1:14" x14ac:dyDescent="0.25">
      <c r="A106" s="22"/>
      <c r="B106" s="59" t="s">
        <v>220</v>
      </c>
      <c r="C106" s="42">
        <f t="shared" ref="C106:N106" si="74">($C12-0.75)*($C12-0.8)/0.005</f>
        <v>-0.11847961521168322</v>
      </c>
      <c r="D106" s="42">
        <f t="shared" si="74"/>
        <v>-0.11847961521168322</v>
      </c>
      <c r="E106" s="42">
        <f t="shared" si="74"/>
        <v>-0.11847961521168322</v>
      </c>
      <c r="F106" s="42">
        <f t="shared" si="74"/>
        <v>-0.11847961521168322</v>
      </c>
      <c r="G106" s="42">
        <f t="shared" si="74"/>
        <v>-0.11847961521168322</v>
      </c>
      <c r="H106" s="42">
        <f t="shared" si="74"/>
        <v>-0.11847961521168322</v>
      </c>
      <c r="I106" s="42">
        <f t="shared" si="74"/>
        <v>-0.11847961521168322</v>
      </c>
      <c r="J106" s="42">
        <f t="shared" si="74"/>
        <v>-0.11847961521168322</v>
      </c>
      <c r="K106" s="42">
        <f t="shared" si="74"/>
        <v>-0.11847961521168322</v>
      </c>
      <c r="L106" s="42">
        <f t="shared" si="74"/>
        <v>-0.11847961521168322</v>
      </c>
      <c r="M106" s="42">
        <f t="shared" si="74"/>
        <v>-0.11847961521168322</v>
      </c>
      <c r="N106" s="42">
        <f t="shared" si="74"/>
        <v>-0.11847961521168322</v>
      </c>
    </row>
    <row r="107" spans="1:14" x14ac:dyDescent="0.25">
      <c r="A107" s="22"/>
      <c r="B107" s="59" t="s">
        <v>144</v>
      </c>
      <c r="C107" s="42">
        <f t="shared" ref="C107:N107" si="75">($C12-0.7)*($C12-0.8)/0.0025</f>
        <v>-0.62276304144740369</v>
      </c>
      <c r="D107" s="42">
        <f t="shared" si="75"/>
        <v>-0.62276304144740369</v>
      </c>
      <c r="E107" s="42">
        <f t="shared" si="75"/>
        <v>-0.62276304144740369</v>
      </c>
      <c r="F107" s="42">
        <f t="shared" si="75"/>
        <v>-0.62276304144740369</v>
      </c>
      <c r="G107" s="42">
        <f t="shared" si="75"/>
        <v>-0.62276304144740369</v>
      </c>
      <c r="H107" s="42">
        <f t="shared" si="75"/>
        <v>-0.62276304144740369</v>
      </c>
      <c r="I107" s="42">
        <f t="shared" si="75"/>
        <v>-0.62276304144740369</v>
      </c>
      <c r="J107" s="42">
        <f t="shared" si="75"/>
        <v>-0.62276304144740369</v>
      </c>
      <c r="K107" s="42">
        <f t="shared" si="75"/>
        <v>-0.62276304144740369</v>
      </c>
      <c r="L107" s="42">
        <f t="shared" si="75"/>
        <v>-0.62276304144740369</v>
      </c>
      <c r="M107" s="42">
        <f t="shared" si="75"/>
        <v>-0.62276304144740369</v>
      </c>
      <c r="N107" s="42">
        <f t="shared" si="75"/>
        <v>-0.62276304144740369</v>
      </c>
    </row>
    <row r="108" spans="1:14" x14ac:dyDescent="0.25">
      <c r="A108" s="22"/>
      <c r="B108" s="59" t="s">
        <v>145</v>
      </c>
      <c r="C108" s="42">
        <f t="shared" ref="C108:N108" si="76">($C12-0.7)*($C12-0.75)/0.005</f>
        <v>0.49571657376428124</v>
      </c>
      <c r="D108" s="42">
        <f t="shared" si="76"/>
        <v>0.49571657376428124</v>
      </c>
      <c r="E108" s="42">
        <f t="shared" si="76"/>
        <v>0.49571657376428124</v>
      </c>
      <c r="F108" s="42">
        <f t="shared" si="76"/>
        <v>0.49571657376428124</v>
      </c>
      <c r="G108" s="42">
        <f t="shared" si="76"/>
        <v>0.49571657376428124</v>
      </c>
      <c r="H108" s="42">
        <f t="shared" si="76"/>
        <v>0.49571657376428124</v>
      </c>
      <c r="I108" s="42">
        <f t="shared" si="76"/>
        <v>0.49571657376428124</v>
      </c>
      <c r="J108" s="42">
        <f t="shared" si="76"/>
        <v>0.49571657376428124</v>
      </c>
      <c r="K108" s="42">
        <f t="shared" si="76"/>
        <v>0.49571657376428124</v>
      </c>
      <c r="L108" s="42">
        <f t="shared" si="76"/>
        <v>0.49571657376428124</v>
      </c>
      <c r="M108" s="42">
        <f t="shared" si="76"/>
        <v>0.49571657376428124</v>
      </c>
      <c r="N108" s="42">
        <f t="shared" si="76"/>
        <v>0.49571657376428124</v>
      </c>
    </row>
    <row r="109" spans="1:14" x14ac:dyDescent="0.25">
      <c r="A109" s="22"/>
      <c r="B109" s="59" t="s">
        <v>146</v>
      </c>
      <c r="C109" s="42">
        <f t="shared" ref="C109:N109" si="77">($C12-0.8)*($C12-0.85)/0.005</f>
        <v>0.26732419581235362</v>
      </c>
      <c r="D109" s="42">
        <f t="shared" si="77"/>
        <v>0.26732419581235362</v>
      </c>
      <c r="E109" s="42">
        <f t="shared" si="77"/>
        <v>0.26732419581235362</v>
      </c>
      <c r="F109" s="42">
        <f t="shared" si="77"/>
        <v>0.26732419581235362</v>
      </c>
      <c r="G109" s="42">
        <f t="shared" si="77"/>
        <v>0.26732419581235362</v>
      </c>
      <c r="H109" s="42">
        <f t="shared" si="77"/>
        <v>0.26732419581235362</v>
      </c>
      <c r="I109" s="42">
        <f t="shared" si="77"/>
        <v>0.26732419581235362</v>
      </c>
      <c r="J109" s="42">
        <f t="shared" si="77"/>
        <v>0.26732419581235362</v>
      </c>
      <c r="K109" s="42">
        <f t="shared" si="77"/>
        <v>0.26732419581235362</v>
      </c>
      <c r="L109" s="42">
        <f t="shared" si="77"/>
        <v>0.26732419581235362</v>
      </c>
      <c r="M109" s="42">
        <f t="shared" si="77"/>
        <v>0.26732419581235362</v>
      </c>
      <c r="N109" s="42">
        <f t="shared" si="77"/>
        <v>0.26732419581235362</v>
      </c>
    </row>
    <row r="110" spans="1:14" x14ac:dyDescent="0.25">
      <c r="A110" s="22"/>
      <c r="B110" s="59" t="s">
        <v>147</v>
      </c>
      <c r="C110" s="42">
        <f t="shared" ref="C110:N110" si="78">($C12-0.75)*($C12-0.85)/0.0025</f>
        <v>-0.85115541939932959</v>
      </c>
      <c r="D110" s="42">
        <f t="shared" si="78"/>
        <v>-0.85115541939932959</v>
      </c>
      <c r="E110" s="42">
        <f t="shared" si="78"/>
        <v>-0.85115541939932959</v>
      </c>
      <c r="F110" s="42">
        <f t="shared" si="78"/>
        <v>-0.85115541939932959</v>
      </c>
      <c r="G110" s="42">
        <f t="shared" si="78"/>
        <v>-0.85115541939932959</v>
      </c>
      <c r="H110" s="42">
        <f t="shared" si="78"/>
        <v>-0.85115541939932959</v>
      </c>
      <c r="I110" s="42">
        <f t="shared" si="78"/>
        <v>-0.85115541939932959</v>
      </c>
      <c r="J110" s="42">
        <f t="shared" si="78"/>
        <v>-0.85115541939932959</v>
      </c>
      <c r="K110" s="42">
        <f t="shared" si="78"/>
        <v>-0.85115541939932959</v>
      </c>
      <c r="L110" s="42">
        <f t="shared" si="78"/>
        <v>-0.85115541939932959</v>
      </c>
      <c r="M110" s="42">
        <f t="shared" si="78"/>
        <v>-0.85115541939932959</v>
      </c>
      <c r="N110" s="42">
        <f t="shared" si="78"/>
        <v>-0.85115541939932959</v>
      </c>
    </row>
    <row r="111" spans="1:14" x14ac:dyDescent="0.25">
      <c r="A111" s="82" t="s">
        <v>127</v>
      </c>
      <c r="B111" s="83" t="s">
        <v>221</v>
      </c>
      <c r="C111" s="84">
        <f t="shared" ref="C111:N111" si="79">IF($C12&lt;0.775,C106*C82-C107*C83+C108*C84,C109*C83-C110*C84+C106*C85)</f>
        <v>0.69117428875036369</v>
      </c>
      <c r="D111" s="84">
        <f t="shared" si="79"/>
        <v>1.3118907522977303</v>
      </c>
      <c r="E111" s="84">
        <f t="shared" si="79"/>
        <v>1.4763948033047201</v>
      </c>
      <c r="F111" s="84">
        <f t="shared" si="79"/>
        <v>1.6844252756638889</v>
      </c>
      <c r="G111" s="84">
        <f t="shared" si="79"/>
        <v>1.9659135493730895</v>
      </c>
      <c r="H111" s="84">
        <f t="shared" si="79"/>
        <v>2.3653943767730454</v>
      </c>
      <c r="I111" s="84">
        <f t="shared" si="79"/>
        <v>2.9446811991637514</v>
      </c>
      <c r="J111" s="84">
        <f t="shared" si="79"/>
        <v>3.7855414634221991</v>
      </c>
      <c r="K111" s="84">
        <f t="shared" si="79"/>
        <v>4.9923719386194634</v>
      </c>
      <c r="L111" s="84">
        <f t="shared" si="79"/>
        <v>6.694874032638122</v>
      </c>
      <c r="M111" s="84">
        <f t="shared" si="79"/>
        <v>9.0507291087890618</v>
      </c>
      <c r="N111" s="84">
        <f t="shared" si="79"/>
        <v>30.251601381052637</v>
      </c>
    </row>
    <row r="112" spans="1:14" x14ac:dyDescent="0.25">
      <c r="A112" s="82" t="s">
        <v>128</v>
      </c>
      <c r="B112" s="83" t="s">
        <v>223</v>
      </c>
      <c r="C112" s="84">
        <f t="shared" ref="C112:N112" si="80">IF($C12&lt;0.775,C106*C86-C107*C87+C108*C88,C109*C87-C110*C88+C106*C89)</f>
        <v>0.6044605386203552</v>
      </c>
      <c r="D112" s="84">
        <f t="shared" si="80"/>
        <v>1.1639370613080959</v>
      </c>
      <c r="E112" s="84">
        <f t="shared" si="80"/>
        <v>1.3237009148807655</v>
      </c>
      <c r="F112" s="84">
        <f t="shared" si="80"/>
        <v>1.516346846682161</v>
      </c>
      <c r="G112" s="84">
        <f t="shared" si="80"/>
        <v>1.7591535536626068</v>
      </c>
      <c r="H112" s="84">
        <f t="shared" si="80"/>
        <v>2.0819600811151395</v>
      </c>
      <c r="I112" s="84">
        <f t="shared" si="80"/>
        <v>2.532072189648912</v>
      </c>
      <c r="J112" s="84">
        <f t="shared" si="80"/>
        <v>3.1799499629002925</v>
      </c>
      <c r="K112" s="84">
        <f t="shared" si="80"/>
        <v>4.1256766559727884</v>
      </c>
      <c r="L112" s="84">
        <f t="shared" si="80"/>
        <v>5.5062087846023102</v>
      </c>
      <c r="M112" s="84">
        <f t="shared" si="80"/>
        <v>7.5034074550584915</v>
      </c>
      <c r="N112" s="84">
        <f t="shared" si="80"/>
        <v>28.413099253800333</v>
      </c>
    </row>
    <row r="113" spans="1:14" x14ac:dyDescent="0.25">
      <c r="A113" s="82" t="s">
        <v>129</v>
      </c>
      <c r="B113" s="83" t="s">
        <v>222</v>
      </c>
      <c r="C113" s="84">
        <f t="shared" ref="C113:N113" si="81">IF($C12&lt;0.775,C106*C90-C107*C91+C108*C92,C109*C91-C110*C92+C106*C93)</f>
        <v>0.52047880789794132</v>
      </c>
      <c r="D113" s="84">
        <f t="shared" si="81"/>
        <v>1.0134317070294863</v>
      </c>
      <c r="E113" s="84">
        <f t="shared" si="81"/>
        <v>1.1570307233958559</v>
      </c>
      <c r="F113" s="84">
        <f t="shared" si="81"/>
        <v>1.3278568298384179</v>
      </c>
      <c r="G113" s="84">
        <f t="shared" si="81"/>
        <v>1.535728105963263</v>
      </c>
      <c r="H113" s="84">
        <f t="shared" si="81"/>
        <v>1.7973278935177661</v>
      </c>
      <c r="I113" s="84">
        <f t="shared" si="81"/>
        <v>2.1390678337888982</v>
      </c>
      <c r="J113" s="84">
        <f t="shared" si="81"/>
        <v>2.6004467118079386</v>
      </c>
      <c r="K113" s="84">
        <f t="shared" si="81"/>
        <v>3.2379051073598468</v>
      </c>
      <c r="L113" s="84">
        <f t="shared" si="81"/>
        <v>4.1291758527992348</v>
      </c>
      <c r="M113" s="84">
        <f t="shared" si="81"/>
        <v>5.3781302976702161</v>
      </c>
      <c r="N113" s="84">
        <f t="shared" si="81"/>
        <v>17.863567247851478</v>
      </c>
    </row>
    <row r="114" spans="1:14" x14ac:dyDescent="0.25">
      <c r="A114" s="82" t="s">
        <v>154</v>
      </c>
      <c r="B114" s="83" t="s">
        <v>225</v>
      </c>
      <c r="C114" s="84">
        <f t="shared" ref="C114:N114" si="82">IF($C12&lt;0.775,C106*C94-C107*C95+C108*C96,C109*C95-C110*C96+C106*C97)</f>
        <v>0.44798326461032739</v>
      </c>
      <c r="D114" s="84">
        <f t="shared" si="82"/>
        <v>0.91566159069561459</v>
      </c>
      <c r="E114" s="84">
        <f t="shared" si="82"/>
        <v>1.0553858720098617</v>
      </c>
      <c r="F114" s="84">
        <f t="shared" si="82"/>
        <v>1.2227270710324967</v>
      </c>
      <c r="G114" s="84">
        <f t="shared" si="82"/>
        <v>1.4248430101021854</v>
      </c>
      <c r="H114" s="84">
        <f t="shared" si="82"/>
        <v>1.6712042327035435</v>
      </c>
      <c r="I114" s="84">
        <f t="shared" si="82"/>
        <v>1.9739092983836251</v>
      </c>
      <c r="J114" s="84">
        <f t="shared" si="82"/>
        <v>2.3480000776688223</v>
      </c>
      <c r="K114" s="84">
        <f t="shared" si="82"/>
        <v>2.8117770469811125</v>
      </c>
      <c r="L114" s="84">
        <f t="shared" si="82"/>
        <v>3.387114583555161</v>
      </c>
      <c r="M114" s="84">
        <f t="shared" si="82"/>
        <v>4.09977626035427</v>
      </c>
      <c r="N114" s="84">
        <f t="shared" si="82"/>
        <v>9.2013796369622654</v>
      </c>
    </row>
    <row r="115" spans="1:14" x14ac:dyDescent="0.25">
      <c r="A115" s="82" t="s">
        <v>155</v>
      </c>
      <c r="B115" s="83" t="s">
        <v>226</v>
      </c>
      <c r="C115" s="84">
        <f t="shared" ref="C115:N115" si="83">IF($C12&lt;0.775,C106*C98-C107*C99+C108*C100,C109*C99-C110*C100+C106*C101)</f>
        <v>0.40925805327929521</v>
      </c>
      <c r="D115" s="84">
        <f t="shared" si="83"/>
        <v>0.82275032547003257</v>
      </c>
      <c r="E115" s="84">
        <f t="shared" si="83"/>
        <v>0.9521177681363876</v>
      </c>
      <c r="F115" s="84">
        <f t="shared" si="83"/>
        <v>1.1020058981979166</v>
      </c>
      <c r="G115" s="84">
        <f t="shared" si="83"/>
        <v>1.2769988768390927</v>
      </c>
      <c r="H115" s="84">
        <f t="shared" si="83"/>
        <v>1.4848657268797774</v>
      </c>
      <c r="I115" s="84">
        <f t="shared" si="83"/>
        <v>1.7373498785185169</v>
      </c>
      <c r="J115" s="84">
        <f t="shared" si="83"/>
        <v>2.0509587150758444</v>
      </c>
      <c r="K115" s="84">
        <f t="shared" si="83"/>
        <v>2.4477531187373462</v>
      </c>
      <c r="L115" s="84">
        <f t="shared" si="83"/>
        <v>2.956137016297212</v>
      </c>
      <c r="M115" s="84">
        <f t="shared" si="83"/>
        <v>3.6116469249013186</v>
      </c>
      <c r="N115" s="84">
        <f t="shared" si="83"/>
        <v>8.9444100224818701</v>
      </c>
    </row>
    <row r="116" spans="1:14" x14ac:dyDescent="0.25">
      <c r="A116" s="82" t="s">
        <v>224</v>
      </c>
      <c r="B116" s="83" t="s">
        <v>227</v>
      </c>
      <c r="C116" s="84">
        <f t="shared" ref="C116:N116" si="84">IF($C12&lt;0.775,C106*C102-C107*C103+C108*C104,C109*C103-C110*C104+C106*C105)</f>
        <v>0.37951515815163916</v>
      </c>
      <c r="D116" s="84">
        <f t="shared" si="84"/>
        <v>0.75169940789541689</v>
      </c>
      <c r="E116" s="84">
        <f t="shared" si="84"/>
        <v>0.87024172236367447</v>
      </c>
      <c r="F116" s="84">
        <f t="shared" si="84"/>
        <v>1.0090644620665667</v>
      </c>
      <c r="G116" s="84">
        <f t="shared" si="84"/>
        <v>1.1725128071231472</v>
      </c>
      <c r="H116" s="84">
        <f t="shared" si="84"/>
        <v>1.36713189959349</v>
      </c>
      <c r="I116" s="84">
        <f t="shared" si="84"/>
        <v>1.6021151884297402</v>
      </c>
      <c r="J116" s="84">
        <f t="shared" si="84"/>
        <v>1.8897527744272928</v>
      </c>
      <c r="K116" s="84">
        <f t="shared" si="84"/>
        <v>2.245879755176019</v>
      </c>
      <c r="L116" s="84">
        <f t="shared" si="84"/>
        <v>2.6903245700114375</v>
      </c>
      <c r="M116" s="84">
        <f t="shared" si="84"/>
        <v>3.2473573449656685</v>
      </c>
      <c r="N116" s="84">
        <f t="shared" si="84"/>
        <v>7.4450356831421587</v>
      </c>
    </row>
    <row r="117" spans="1:14" x14ac:dyDescent="0.25">
      <c r="A117" s="75" t="s">
        <v>131</v>
      </c>
      <c r="B117" s="73" t="s">
        <v>122</v>
      </c>
      <c r="C117" s="74">
        <f t="shared" ref="C117:N117" si="85">IF($C13&gt;5.25,IF($C13&lt;5.75,C112*($C13-5.5)*($C13-6)/0.5-C113*($C13-5)*($C13-6)/0.25+C114*($C13-5)*($C13-5.5)/0.5,IF($C13&lt;6.25,C113*($C13-6)*($C13-6.5)/0.5-C114*($C13-5.5)*($C13-6.5)/0.25+C115*($C13-5.5)*($C13-6)/0.5,C114*($C13-6.5)*($C13-7)/0.5-C115*($C13-6)*($C13-7)/0.25+C116*($C13-6)*($C13-6.5)/0.5)),C111*($C13-5)*($C13-5.5)/0.5-C112*($C13-4.5)*($C13-5.5)/0.25+C113*($C13-4.5)*($C13-5)/0.5)</f>
        <v>0.61270998221958206</v>
      </c>
      <c r="D117" s="74">
        <f t="shared" si="85"/>
        <v>1.1783269884125915</v>
      </c>
      <c r="E117" s="74">
        <f t="shared" si="85"/>
        <v>1.3390463880952377</v>
      </c>
      <c r="F117" s="74">
        <f t="shared" si="85"/>
        <v>1.5334576069482322</v>
      </c>
      <c r="G117" s="74">
        <f t="shared" si="85"/>
        <v>1.7798340657076743</v>
      </c>
      <c r="H117" s="74">
        <f t="shared" si="85"/>
        <v>2.1093659201694321</v>
      </c>
      <c r="I117" s="74">
        <f t="shared" si="85"/>
        <v>2.5710374646483145</v>
      </c>
      <c r="J117" s="74">
        <f t="shared" si="85"/>
        <v>3.2372568841965821</v>
      </c>
      <c r="K117" s="74">
        <f t="shared" si="85"/>
        <v>4.210238355572999</v>
      </c>
      <c r="L117" s="74">
        <f t="shared" si="85"/>
        <v>5.6291364969589255</v>
      </c>
      <c r="M117" s="74">
        <f t="shared" si="85"/>
        <v>7.6779331664321404</v>
      </c>
      <c r="N117" s="74">
        <f t="shared" si="85"/>
        <v>28.970303903917344</v>
      </c>
    </row>
    <row r="118" spans="1:14" x14ac:dyDescent="0.25">
      <c r="A118" s="22"/>
      <c r="B118" s="59" t="s">
        <v>123</v>
      </c>
      <c r="C118" s="42">
        <f t="shared" ref="C118:N118" si="86">C22</f>
        <v>0.12</v>
      </c>
      <c r="D118" s="42">
        <f t="shared" si="86"/>
        <v>0.19069812061401845</v>
      </c>
      <c r="E118" s="42">
        <f t="shared" si="86"/>
        <v>0.200555877516121</v>
      </c>
      <c r="F118" s="42">
        <f t="shared" si="86"/>
        <v>0.21041363441822353</v>
      </c>
      <c r="G118" s="42">
        <f t="shared" si="86"/>
        <v>0.22027139132032608</v>
      </c>
      <c r="H118" s="42">
        <f t="shared" si="86"/>
        <v>0.23012914822242861</v>
      </c>
      <c r="I118" s="42">
        <f t="shared" si="86"/>
        <v>0.23998690512453114</v>
      </c>
      <c r="J118" s="42">
        <f t="shared" si="86"/>
        <v>0.24984466202663369</v>
      </c>
      <c r="K118" s="42">
        <f t="shared" si="86"/>
        <v>0.25970241892873619</v>
      </c>
      <c r="L118" s="42">
        <f t="shared" si="86"/>
        <v>0.26956017583083874</v>
      </c>
      <c r="M118" s="42">
        <f t="shared" si="86"/>
        <v>0.27941793273294124</v>
      </c>
      <c r="N118" s="42">
        <f t="shared" si="86"/>
        <v>0.32</v>
      </c>
    </row>
    <row r="119" spans="1:14" x14ac:dyDescent="0.25">
      <c r="A119" s="22"/>
      <c r="B119" s="59" t="s">
        <v>165</v>
      </c>
      <c r="C119" s="42">
        <f t="shared" ref="C119:N119" si="87">C55+C57+C59+C63</f>
        <v>0.6790311166352081</v>
      </c>
      <c r="D119" s="42">
        <f t="shared" si="87"/>
        <v>1.2221192546363198</v>
      </c>
      <c r="E119" s="42">
        <f t="shared" si="87"/>
        <v>1.3847224516134147</v>
      </c>
      <c r="F119" s="42">
        <f t="shared" si="87"/>
        <v>1.5885409725801958</v>
      </c>
      <c r="G119" s="42">
        <f t="shared" si="87"/>
        <v>1.8470851474811041</v>
      </c>
      <c r="H119" s="42">
        <f t="shared" si="87"/>
        <v>2.1800794592140011</v>
      </c>
      <c r="I119" s="42">
        <f t="shared" si="87"/>
        <v>2.6170151057364852</v>
      </c>
      <c r="J119" s="42">
        <f t="shared" si="87"/>
        <v>3.2026396711367138</v>
      </c>
      <c r="K119" s="42">
        <f t="shared" si="87"/>
        <v>4.0044603973583008</v>
      </c>
      <c r="L119" s="42">
        <f t="shared" si="87"/>
        <v>5.1191559063763759</v>
      </c>
      <c r="M119" s="42">
        <f t="shared" si="87"/>
        <v>6.663033680071532</v>
      </c>
      <c r="N119" s="42">
        <f t="shared" si="87"/>
        <v>13.740236241488606</v>
      </c>
    </row>
    <row r="120" spans="1:14" x14ac:dyDescent="0.25">
      <c r="A120" s="22"/>
      <c r="B120" s="59" t="s">
        <v>166</v>
      </c>
      <c r="C120" s="42">
        <f t="shared" ref="C120:N120" si="88">C119-C117</f>
        <v>6.6321134415626037E-2</v>
      </c>
      <c r="D120" s="42">
        <f t="shared" si="88"/>
        <v>4.3792266223728227E-2</v>
      </c>
      <c r="E120" s="42">
        <f t="shared" si="88"/>
        <v>4.567606351817699E-2</v>
      </c>
      <c r="F120" s="42">
        <f t="shared" si="88"/>
        <v>5.5083365631963588E-2</v>
      </c>
      <c r="G120" s="42">
        <f t="shared" si="88"/>
        <v>6.7251081773429755E-2</v>
      </c>
      <c r="H120" s="42">
        <f t="shared" si="88"/>
        <v>7.0713539044569007E-2</v>
      </c>
      <c r="I120" s="42">
        <f t="shared" si="88"/>
        <v>4.5977641088170706E-2</v>
      </c>
      <c r="J120" s="42">
        <f t="shared" si="88"/>
        <v>-3.4617213059868313E-2</v>
      </c>
      <c r="K120" s="42">
        <f t="shared" si="88"/>
        <v>-0.20577795821469813</v>
      </c>
      <c r="L120" s="42">
        <f t="shared" si="88"/>
        <v>-0.50998059058254963</v>
      </c>
      <c r="M120" s="42">
        <f t="shared" si="88"/>
        <v>-1.0148994863606084</v>
      </c>
      <c r="N120" s="42">
        <f t="shared" si="88"/>
        <v>-15.230067662428738</v>
      </c>
    </row>
  </sheetData>
  <phoneticPr fontId="2" type="noConversion"/>
  <dataValidations count="1">
    <dataValidation type="whole" allowBlank="1" showInputMessage="1" showErrorMessage="1" error="Value to be either 1 or 2" sqref="K14">
      <formula1>1</formula1>
      <formula2>3</formula2>
    </dataValidation>
  </dataValidations>
  <pageMargins left="0.75" right="0.75" top="1" bottom="1" header="0" footer="0"/>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V117"/>
  <sheetViews>
    <sheetView topLeftCell="A19" workbookViewId="0">
      <selection activeCell="P43" sqref="P43"/>
    </sheetView>
  </sheetViews>
  <sheetFormatPr defaultRowHeight="13.2" x14ac:dyDescent="0.25"/>
  <cols>
    <col min="1" max="1" width="27.44140625" customWidth="1"/>
    <col min="2" max="14" width="7.77734375" customWidth="1"/>
    <col min="16" max="16" width="9" bestFit="1" customWidth="1"/>
    <col min="17" max="17" width="9.77734375" bestFit="1" customWidth="1"/>
    <col min="18" max="18" width="9" bestFit="1" customWidth="1"/>
    <col min="20" max="20" width="14.21875" customWidth="1"/>
  </cols>
  <sheetData>
    <row r="1" spans="1:14" ht="21.6" thickBot="1" x14ac:dyDescent="0.45">
      <c r="A1" s="4" t="s">
        <v>370</v>
      </c>
      <c r="B1" s="5"/>
      <c r="C1" s="5"/>
      <c r="D1" s="5"/>
      <c r="E1" s="6"/>
      <c r="F1" s="5"/>
      <c r="G1" s="7"/>
      <c r="H1" s="80"/>
      <c r="I1" s="9"/>
      <c r="J1" s="8"/>
      <c r="L1" s="8"/>
      <c r="M1" s="8"/>
      <c r="N1" s="230"/>
    </row>
    <row r="2" spans="1:14" ht="13.8" thickTop="1" x14ac:dyDescent="0.25">
      <c r="A2" s="10" t="s">
        <v>8</v>
      </c>
      <c r="B2" s="11"/>
      <c r="C2" s="11"/>
      <c r="D2" s="60"/>
      <c r="E2" s="98"/>
      <c r="F2" s="98"/>
      <c r="G2" s="11"/>
      <c r="H2" s="11"/>
      <c r="I2" s="12"/>
      <c r="J2" s="13" t="s">
        <v>9</v>
      </c>
      <c r="K2" s="14"/>
      <c r="L2" s="11"/>
      <c r="M2" s="11"/>
      <c r="N2" s="202"/>
    </row>
    <row r="3" spans="1:14" x14ac:dyDescent="0.25">
      <c r="A3" s="15" t="s">
        <v>10</v>
      </c>
      <c r="B3" s="16" t="s">
        <v>11</v>
      </c>
      <c r="C3" s="17">
        <v>1.0249999999999999</v>
      </c>
      <c r="D3" s="101"/>
      <c r="E3" s="79"/>
      <c r="F3" s="102"/>
      <c r="G3" s="18" t="s">
        <v>12</v>
      </c>
      <c r="H3" s="18"/>
      <c r="I3" s="18"/>
      <c r="J3" s="70">
        <v>1</v>
      </c>
      <c r="K3" s="23">
        <f>IF(J3=1,IF(C17=1,0.7*C70-0.45+0.08*C13,IF(C16=1,C71,G70)),J3)</f>
        <v>0.25574944614123091</v>
      </c>
      <c r="L3" s="113"/>
      <c r="M3" s="112"/>
      <c r="N3" s="204"/>
    </row>
    <row r="4" spans="1:14" x14ac:dyDescent="0.25">
      <c r="A4" s="15" t="s">
        <v>13</v>
      </c>
      <c r="B4" s="16" t="s">
        <v>14</v>
      </c>
      <c r="C4" s="20">
        <f>'Ship data'!D6</f>
        <v>69.39316773984396</v>
      </c>
      <c r="D4" s="103"/>
      <c r="E4" s="79"/>
      <c r="F4" s="102"/>
      <c r="G4" s="18" t="s">
        <v>15</v>
      </c>
      <c r="H4" s="18"/>
      <c r="I4" s="18"/>
      <c r="J4" s="71">
        <v>1</v>
      </c>
      <c r="K4" s="19">
        <f>IF(J4=1,IF(C17=1,E70-0.26+0.04*C13,IF(C16=1,E71,G71)),J4)</f>
        <v>0.22553741549667311</v>
      </c>
      <c r="L4" s="112"/>
      <c r="M4" s="112"/>
      <c r="N4" s="204"/>
    </row>
    <row r="5" spans="1:14" x14ac:dyDescent="0.25">
      <c r="A5" s="15" t="s">
        <v>16</v>
      </c>
      <c r="B5" s="16" t="s">
        <v>14</v>
      </c>
      <c r="C5" s="20">
        <f>'Ship data'!D7</f>
        <v>12.098035159762397</v>
      </c>
      <c r="D5" s="103"/>
      <c r="E5" s="79"/>
      <c r="F5" s="102"/>
      <c r="G5" s="18" t="s">
        <v>17</v>
      </c>
      <c r="H5" s="18"/>
      <c r="I5" s="18"/>
      <c r="J5" s="22"/>
      <c r="K5" s="19">
        <f>(1-K4)/(1-K3)</f>
        <v>1.0405938974286484</v>
      </c>
      <c r="L5" s="112"/>
      <c r="M5" s="112"/>
      <c r="N5" s="204"/>
    </row>
    <row r="6" spans="1:14" x14ac:dyDescent="0.25">
      <c r="A6" s="15" t="s">
        <v>18</v>
      </c>
      <c r="B6" s="16" t="s">
        <v>14</v>
      </c>
      <c r="C6" s="20">
        <f>'Ship data'!D12</f>
        <v>4.4898974114147832</v>
      </c>
      <c r="D6" s="104"/>
      <c r="E6" s="105"/>
      <c r="F6" s="102"/>
      <c r="G6" s="18" t="s">
        <v>19</v>
      </c>
      <c r="H6" s="18"/>
      <c r="I6" s="18"/>
      <c r="K6" s="19">
        <f>'Ship data'!D49/100</f>
        <v>0.98</v>
      </c>
      <c r="L6" s="112"/>
      <c r="M6" s="112"/>
      <c r="N6" s="204"/>
    </row>
    <row r="7" spans="1:14" x14ac:dyDescent="0.25">
      <c r="A7" s="15" t="s">
        <v>20</v>
      </c>
      <c r="B7" s="16" t="s">
        <v>21</v>
      </c>
      <c r="C7" s="24">
        <f>'Ship data'!D21</f>
        <v>3020.9727921305375</v>
      </c>
      <c r="D7" s="103"/>
      <c r="E7" s="79"/>
      <c r="F7" s="102"/>
      <c r="G7" s="18" t="s">
        <v>22</v>
      </c>
      <c r="H7" s="18"/>
      <c r="I7" s="18"/>
      <c r="K7" s="25">
        <v>1</v>
      </c>
      <c r="L7" s="112"/>
      <c r="M7" s="112"/>
      <c r="N7" s="204"/>
    </row>
    <row r="8" spans="1:14" x14ac:dyDescent="0.25">
      <c r="A8" s="15" t="s">
        <v>23</v>
      </c>
      <c r="B8" s="16" t="s">
        <v>24</v>
      </c>
      <c r="C8" s="26">
        <f>'Ship data'!D34</f>
        <v>1235.9226634083334</v>
      </c>
      <c r="D8" s="103"/>
      <c r="E8" s="79"/>
      <c r="F8" s="102"/>
      <c r="G8" s="27" t="s">
        <v>25</v>
      </c>
      <c r="H8" s="28"/>
      <c r="I8" s="28"/>
      <c r="J8" s="28"/>
      <c r="K8" s="95"/>
      <c r="L8" s="96"/>
      <c r="M8" s="217" t="s">
        <v>167</v>
      </c>
      <c r="N8" s="97">
        <f>'Ship data'!D35</f>
        <v>13.172490532473214</v>
      </c>
    </row>
    <row r="9" spans="1:14" x14ac:dyDescent="0.25">
      <c r="A9" s="15" t="s">
        <v>26</v>
      </c>
      <c r="B9" s="16" t="s">
        <v>24</v>
      </c>
      <c r="C9" s="24">
        <f>IF(C8=0,(1.08+(C16-1)*0.05-0.009*C5/C6)*(C7/C3/C6+1.65*C4*C6),C8)</f>
        <v>1235.9226634083334</v>
      </c>
      <c r="D9" s="104"/>
      <c r="E9" s="79"/>
      <c r="F9" s="102"/>
      <c r="G9" s="30" t="s">
        <v>27</v>
      </c>
      <c r="H9" s="30"/>
      <c r="I9" s="30"/>
      <c r="J9" s="31">
        <v>0.32</v>
      </c>
      <c r="K9" s="32" t="str">
        <f>IF(J9&gt;0.32,"Too high"," ")</f>
        <v xml:space="preserve"> </v>
      </c>
      <c r="L9" s="112"/>
      <c r="M9" s="112"/>
      <c r="N9" s="204"/>
    </row>
    <row r="10" spans="1:14" x14ac:dyDescent="0.25">
      <c r="A10" s="15" t="s">
        <v>4</v>
      </c>
      <c r="B10" s="16" t="s">
        <v>28</v>
      </c>
      <c r="C10" s="17">
        <f>'Ship data'!D29</f>
        <v>0.995</v>
      </c>
      <c r="D10" s="103"/>
      <c r="E10" s="79"/>
      <c r="F10" s="102"/>
      <c r="G10" s="33" t="s">
        <v>29</v>
      </c>
      <c r="H10" s="33"/>
      <c r="I10" s="33"/>
      <c r="J10" s="21">
        <v>1</v>
      </c>
      <c r="K10" s="34" t="str">
        <f>IF(J10&lt;0.9,"Too low"," ")</f>
        <v xml:space="preserve"> </v>
      </c>
      <c r="L10" s="112"/>
      <c r="M10" s="112"/>
      <c r="N10" s="204"/>
    </row>
    <row r="11" spans="1:14" x14ac:dyDescent="0.25">
      <c r="A11" s="15" t="s">
        <v>30</v>
      </c>
      <c r="B11" s="16" t="s">
        <v>28</v>
      </c>
      <c r="C11" s="17">
        <f>C7/C3/C4/C5/C6</f>
        <v>0.78190677289816124</v>
      </c>
      <c r="D11" s="103"/>
      <c r="E11" s="79"/>
      <c r="F11" s="102"/>
      <c r="G11" s="63" t="s">
        <v>124</v>
      </c>
      <c r="H11" s="63"/>
      <c r="I11" s="63"/>
      <c r="J11" s="64"/>
      <c r="K11" s="114">
        <v>0</v>
      </c>
      <c r="L11" s="112"/>
      <c r="M11" s="112"/>
      <c r="N11" s="204"/>
    </row>
    <row r="12" spans="1:14" x14ac:dyDescent="0.25">
      <c r="A12" s="15" t="s">
        <v>31</v>
      </c>
      <c r="B12" s="16" t="s">
        <v>28</v>
      </c>
      <c r="C12" s="17">
        <f>C11/C10</f>
        <v>0.78583595266146855</v>
      </c>
      <c r="D12" s="106"/>
      <c r="E12" s="78"/>
      <c r="F12" s="102"/>
      <c r="G12" s="66" t="s">
        <v>125</v>
      </c>
      <c r="H12" s="65"/>
      <c r="I12" s="66"/>
      <c r="J12" s="62"/>
      <c r="K12" s="61">
        <v>15</v>
      </c>
      <c r="L12" s="112"/>
      <c r="M12" s="112"/>
      <c r="N12" s="204"/>
    </row>
    <row r="13" spans="1:14" x14ac:dyDescent="0.25">
      <c r="A13" s="15" t="s">
        <v>32</v>
      </c>
      <c r="B13" s="16" t="s">
        <v>28</v>
      </c>
      <c r="C13" s="20">
        <f>C4/(C7/C3)^(1/3)</f>
        <v>4.8399669600885336</v>
      </c>
      <c r="D13" s="106" t="str">
        <f>IF(OR(C13&lt;4,C13&gt;9)," Warning: Length-displ. ratio out of range !","")</f>
        <v/>
      </c>
      <c r="E13" s="78"/>
      <c r="F13" s="102"/>
      <c r="G13" s="66" t="s">
        <v>126</v>
      </c>
      <c r="H13" s="66"/>
      <c r="I13" s="66"/>
      <c r="J13" s="62"/>
      <c r="K13" s="61">
        <v>1</v>
      </c>
      <c r="L13" s="112"/>
      <c r="M13" s="112"/>
      <c r="N13" s="204"/>
    </row>
    <row r="14" spans="1:14" x14ac:dyDescent="0.25">
      <c r="A14" s="15" t="s">
        <v>33</v>
      </c>
      <c r="B14" s="16" t="s">
        <v>28</v>
      </c>
      <c r="C14" s="36">
        <v>0</v>
      </c>
      <c r="D14" s="106"/>
      <c r="E14" s="78"/>
      <c r="F14" s="102"/>
      <c r="G14" s="66" t="s">
        <v>130</v>
      </c>
      <c r="H14" s="66"/>
      <c r="I14" s="66"/>
      <c r="J14" s="62"/>
      <c r="K14" s="114">
        <f>'Ship data'!D68</f>
        <v>1</v>
      </c>
      <c r="L14" s="111"/>
      <c r="M14" s="111"/>
      <c r="N14" s="206"/>
    </row>
    <row r="15" spans="1:14" x14ac:dyDescent="0.25">
      <c r="A15" s="15" t="s">
        <v>34</v>
      </c>
      <c r="B15" s="16" t="s">
        <v>28</v>
      </c>
      <c r="C15" s="36">
        <v>0</v>
      </c>
      <c r="D15" s="107"/>
      <c r="E15" s="108"/>
      <c r="F15" s="79"/>
      <c r="G15" s="406" t="s">
        <v>397</v>
      </c>
      <c r="H15" s="407"/>
      <c r="I15" s="407"/>
      <c r="J15" s="407"/>
      <c r="K15" s="408">
        <f>'Ship data'!D50</f>
        <v>0</v>
      </c>
      <c r="L15" s="111"/>
      <c r="M15" s="111"/>
      <c r="N15" s="206"/>
    </row>
    <row r="16" spans="1:14" x14ac:dyDescent="0.25">
      <c r="A16" s="15" t="s">
        <v>35</v>
      </c>
      <c r="B16" s="16" t="s">
        <v>28</v>
      </c>
      <c r="C16" s="26">
        <v>1</v>
      </c>
      <c r="D16" s="109" t="str">
        <f>IF(OR(C4/C5&lt;3.5,C4/C5&gt;10)," Warning: L/B out of range !","")</f>
        <v/>
      </c>
      <c r="E16" s="110"/>
      <c r="F16" s="110"/>
      <c r="G16" s="110"/>
      <c r="H16" s="110"/>
      <c r="I16" s="133"/>
      <c r="J16" s="134"/>
      <c r="K16" s="110"/>
      <c r="L16" s="111"/>
      <c r="M16" s="111"/>
      <c r="N16" s="206"/>
    </row>
    <row r="17" spans="1:18" x14ac:dyDescent="0.25">
      <c r="A17" s="15" t="s">
        <v>36</v>
      </c>
      <c r="B17" s="16" t="s">
        <v>28</v>
      </c>
      <c r="C17" s="26">
        <v>1</v>
      </c>
      <c r="D17" s="109" t="str">
        <f>IF(C5/C6&gt;6.5,"  Warning: B/T out of range !","")</f>
        <v/>
      </c>
      <c r="E17" s="110"/>
      <c r="F17" s="110"/>
      <c r="G17" s="110"/>
      <c r="H17" s="110"/>
      <c r="I17" s="133"/>
      <c r="J17" s="134"/>
      <c r="K17" s="110"/>
      <c r="L17" s="111"/>
      <c r="M17" s="111"/>
      <c r="N17" s="206"/>
    </row>
    <row r="18" spans="1:18" x14ac:dyDescent="0.25">
      <c r="A18" s="15" t="s">
        <v>37</v>
      </c>
      <c r="B18" s="16" t="s">
        <v>14</v>
      </c>
      <c r="C18" s="20">
        <f>'Ship data'!D70</f>
        <v>3.0735094775088392</v>
      </c>
      <c r="D18" s="99">
        <f>C18/C6</f>
        <v>0.68453890944033069</v>
      </c>
      <c r="E18" s="100" t="s">
        <v>163</v>
      </c>
      <c r="F18" s="215"/>
      <c r="G18" s="110"/>
      <c r="H18" s="110"/>
      <c r="I18" s="133"/>
      <c r="J18" s="134"/>
      <c r="K18" s="110"/>
      <c r="L18" s="111"/>
      <c r="M18" s="111"/>
      <c r="N18" s="206"/>
    </row>
    <row r="19" spans="1:18" ht="13.8" thickBot="1" x14ac:dyDescent="0.3">
      <c r="A19" s="18" t="s">
        <v>38</v>
      </c>
      <c r="B19" s="37" t="s">
        <v>28</v>
      </c>
      <c r="C19" s="24">
        <v>4</v>
      </c>
      <c r="D19" s="111"/>
      <c r="E19" s="108"/>
      <c r="F19" s="108"/>
      <c r="G19" s="110"/>
      <c r="H19" s="110"/>
      <c r="I19" s="133"/>
      <c r="J19" s="134"/>
      <c r="K19" s="110"/>
      <c r="L19" s="111"/>
      <c r="M19" s="111"/>
      <c r="N19" s="206"/>
    </row>
    <row r="20" spans="1:18" ht="14.4" thickTop="1" thickBot="1" x14ac:dyDescent="0.3">
      <c r="A20" s="10" t="s">
        <v>39</v>
      </c>
      <c r="B20" s="38"/>
      <c r="C20" s="11"/>
      <c r="D20" s="11"/>
      <c r="E20" s="11"/>
      <c r="F20" s="11"/>
      <c r="G20" s="11"/>
      <c r="H20" s="11"/>
      <c r="I20" s="11"/>
      <c r="J20" s="11"/>
      <c r="K20" s="11"/>
      <c r="L20" s="11"/>
      <c r="M20" s="11"/>
      <c r="N20" s="231"/>
    </row>
    <row r="21" spans="1:18" ht="13.8" thickBot="1" x14ac:dyDescent="0.3">
      <c r="A21" s="39" t="s">
        <v>40</v>
      </c>
      <c r="B21" s="40" t="s">
        <v>41</v>
      </c>
      <c r="C21" s="85">
        <f>(C22*(9.81*C4)^0.5)/0.5144</f>
        <v>6.0865773619557171</v>
      </c>
      <c r="D21" s="41">
        <f>E21-0.5</f>
        <v>10.172490532473214</v>
      </c>
      <c r="E21" s="41">
        <f>F21-0.5</f>
        <v>10.672490532473214</v>
      </c>
      <c r="F21" s="41">
        <f>G21-0.5</f>
        <v>11.172490532473214</v>
      </c>
      <c r="G21" s="41">
        <f>H21-0.5</f>
        <v>11.672490532473214</v>
      </c>
      <c r="H21" s="86">
        <f>I21-MAX(1,'Ship data'!D45/10)</f>
        <v>12.172490532473214</v>
      </c>
      <c r="I21" s="86">
        <f>J21-MAX(1,'Ship data'!D45/10)</f>
        <v>13.172490532473214</v>
      </c>
      <c r="J21" s="86">
        <f>N8+MAX(1,'Ship data'!D45/5)</f>
        <v>14.172490532473214</v>
      </c>
      <c r="K21" s="156">
        <f>L21-0.05</f>
        <v>12.918085356001084</v>
      </c>
      <c r="L21" s="156">
        <f>R22</f>
        <v>12.968085356001085</v>
      </c>
      <c r="M21" s="156">
        <f>L21+0.05</f>
        <v>13.018085356001086</v>
      </c>
      <c r="N21" s="251">
        <f>N22*SQRT(9.81*C4)/0.5144</f>
        <v>16.230872965215244</v>
      </c>
    </row>
    <row r="22" spans="1:18" ht="13.8" thickBot="1" x14ac:dyDescent="0.3">
      <c r="A22" s="15" t="s">
        <v>42</v>
      </c>
      <c r="B22" s="16" t="s">
        <v>28</v>
      </c>
      <c r="C22" s="87">
        <v>0.12</v>
      </c>
      <c r="D22" s="42">
        <f t="shared" ref="D22:M22" si="0">D21*0.5144/SQRT(9.81*$C4)</f>
        <v>0.200555877516121</v>
      </c>
      <c r="E22" s="42">
        <f t="shared" si="0"/>
        <v>0.21041363441822353</v>
      </c>
      <c r="F22" s="42">
        <f t="shared" si="0"/>
        <v>0.22027139132032608</v>
      </c>
      <c r="G22" s="42">
        <f t="shared" si="0"/>
        <v>0.23012914822242861</v>
      </c>
      <c r="H22" s="88">
        <f t="shared" si="0"/>
        <v>0.23998690512453114</v>
      </c>
      <c r="I22" s="88">
        <f t="shared" si="0"/>
        <v>0.25970241892873619</v>
      </c>
      <c r="J22" s="88">
        <f t="shared" si="0"/>
        <v>0.27941793273294124</v>
      </c>
      <c r="K22" s="118">
        <f t="shared" si="0"/>
        <v>0.25468669016013873</v>
      </c>
      <c r="L22" s="118">
        <f t="shared" si="0"/>
        <v>0.25567246585034897</v>
      </c>
      <c r="M22" s="118">
        <f t="shared" si="0"/>
        <v>0.25665824154055922</v>
      </c>
      <c r="N22" s="237">
        <f>J9</f>
        <v>0.32</v>
      </c>
      <c r="P22" s="124" t="s">
        <v>164</v>
      </c>
      <c r="Q22" s="125">
        <f>'Ship data'!D62*0.75</f>
        <v>2094.172884278496</v>
      </c>
      <c r="R22" s="126">
        <f>R23*R24*Q25-R23*R25*Q24+R24*R25*Q23</f>
        <v>12.968085356001085</v>
      </c>
    </row>
    <row r="23" spans="1:18" x14ac:dyDescent="0.25">
      <c r="A23" s="15" t="s">
        <v>43</v>
      </c>
      <c r="B23" s="16" t="s">
        <v>28</v>
      </c>
      <c r="C23" s="88">
        <f t="shared" ref="C23:N23" si="1">75/(LOG10(C21*0.5144*$C4*1000000/((43.4233-31.38*$C3)*($K12+20)^(1.72*$C3-2.202)+4.7478-5.779*$C3))-2)^2</f>
        <v>1.9126129181791665</v>
      </c>
      <c r="D23" s="42">
        <f t="shared" si="1"/>
        <v>1.7833076597966899</v>
      </c>
      <c r="E23" s="42">
        <f t="shared" si="1"/>
        <v>1.771902127866017</v>
      </c>
      <c r="F23" s="42">
        <f t="shared" si="1"/>
        <v>1.7611206080054687</v>
      </c>
      <c r="G23" s="42">
        <f t="shared" si="1"/>
        <v>1.7509029567807526</v>
      </c>
      <c r="H23" s="88">
        <f t="shared" si="1"/>
        <v>1.7411971132131978</v>
      </c>
      <c r="I23" s="88">
        <f t="shared" si="1"/>
        <v>1.7231450841053335</v>
      </c>
      <c r="J23" s="88">
        <f t="shared" si="1"/>
        <v>1.7066640889162894</v>
      </c>
      <c r="K23" s="118">
        <f t="shared" si="1"/>
        <v>1.7275779994363714</v>
      </c>
      <c r="L23" s="118">
        <f t="shared" si="1"/>
        <v>1.726698557742989</v>
      </c>
      <c r="M23" s="118">
        <f t="shared" si="1"/>
        <v>1.7258231678192673</v>
      </c>
      <c r="N23" s="238">
        <f t="shared" si="1"/>
        <v>1.6767381901925182</v>
      </c>
      <c r="P23" s="127">
        <f>H35-I35</f>
        <v>-1118.2879947487806</v>
      </c>
      <c r="Q23" s="128">
        <f>H21/P23/P24</f>
        <v>2.6744172985289128E-6</v>
      </c>
      <c r="R23" s="129">
        <f>Q22-H35</f>
        <v>855.38370176065087</v>
      </c>
    </row>
    <row r="24" spans="1:18" x14ac:dyDescent="0.25">
      <c r="A24" s="15" t="s">
        <v>44</v>
      </c>
      <c r="B24" s="16" t="s">
        <v>28</v>
      </c>
      <c r="C24" s="88">
        <f t="shared" ref="C24:M24" si="2">IF(C22&gt;0.12,C45,$C45+(C22-0.12)*2.5)</f>
        <v>0.67351412501459762</v>
      </c>
      <c r="D24" s="135">
        <f t="shared" si="2"/>
        <v>1.4417269081799344</v>
      </c>
      <c r="E24" s="135">
        <f t="shared" si="2"/>
        <v>1.6488381115764674</v>
      </c>
      <c r="F24" s="135">
        <f t="shared" si="2"/>
        <v>1.9178442106222422</v>
      </c>
      <c r="G24" s="135">
        <f t="shared" si="2"/>
        <v>2.2849600284533125</v>
      </c>
      <c r="H24" s="88">
        <f t="shared" si="2"/>
        <v>2.8040763192299236</v>
      </c>
      <c r="I24" s="88">
        <f t="shared" si="2"/>
        <v>4.6314101957255298</v>
      </c>
      <c r="J24" s="88">
        <f t="shared" si="2"/>
        <v>8.3795051041994117</v>
      </c>
      <c r="K24" s="136">
        <f t="shared" si="2"/>
        <v>4.0327182390824854</v>
      </c>
      <c r="L24" s="136">
        <f t="shared" si="2"/>
        <v>4.1417745257801206</v>
      </c>
      <c r="M24" s="136">
        <f t="shared" si="2"/>
        <v>4.2548940185876871</v>
      </c>
      <c r="N24" s="237">
        <f>N61+N62+N114</f>
        <v>30.053613949129804</v>
      </c>
      <c r="P24" s="127">
        <f>H35-J35</f>
        <v>-4070.0206260838859</v>
      </c>
      <c r="Q24" s="128">
        <f>I21/P23/P25</f>
        <v>3.9905909753068508E-6</v>
      </c>
      <c r="R24" s="129">
        <f>Q22-I35</f>
        <v>-262.90429298812978</v>
      </c>
    </row>
    <row r="25" spans="1:18" ht="13.8" thickBot="1" x14ac:dyDescent="0.3">
      <c r="A25" s="15" t="s">
        <v>45</v>
      </c>
      <c r="B25" s="16" t="s">
        <v>28</v>
      </c>
      <c r="C25" s="88">
        <f t="shared" ref="C25:N25" si="3">IF($C17=1,0,0.3)</f>
        <v>0</v>
      </c>
      <c r="D25" s="42">
        <f t="shared" si="3"/>
        <v>0</v>
      </c>
      <c r="E25" s="42">
        <f t="shared" si="3"/>
        <v>0</v>
      </c>
      <c r="F25" s="42">
        <f t="shared" si="3"/>
        <v>0</v>
      </c>
      <c r="G25" s="42">
        <f t="shared" si="3"/>
        <v>0</v>
      </c>
      <c r="H25" s="88">
        <f t="shared" si="3"/>
        <v>0</v>
      </c>
      <c r="I25" s="88">
        <f t="shared" si="3"/>
        <v>0</v>
      </c>
      <c r="J25" s="88">
        <f t="shared" si="3"/>
        <v>0</v>
      </c>
      <c r="K25" s="118">
        <f t="shared" si="3"/>
        <v>0</v>
      </c>
      <c r="L25" s="118">
        <f t="shared" si="3"/>
        <v>0</v>
      </c>
      <c r="M25" s="118">
        <f t="shared" si="3"/>
        <v>0</v>
      </c>
      <c r="N25" s="238">
        <f t="shared" si="3"/>
        <v>0</v>
      </c>
      <c r="P25" s="130">
        <f>I35-J35</f>
        <v>-2951.732631335105</v>
      </c>
      <c r="Q25" s="131">
        <f>J21/P24/P25</f>
        <v>1.1797026336343261E-6</v>
      </c>
      <c r="R25" s="132">
        <f>Q22-J35</f>
        <v>-3214.6369243232348</v>
      </c>
    </row>
    <row r="26" spans="1:18" x14ac:dyDescent="0.25">
      <c r="A26" s="15" t="s">
        <v>46</v>
      </c>
      <c r="B26" s="16" t="s">
        <v>28</v>
      </c>
      <c r="C26" s="212">
        <f t="shared" ref="C26:N26" si="4">$K13*MAX(-0.4,-0.1-1.6*C22)</f>
        <v>-0.29200000000000004</v>
      </c>
      <c r="D26" s="213">
        <f t="shared" si="4"/>
        <v>-0.4</v>
      </c>
      <c r="E26" s="213">
        <f t="shared" si="4"/>
        <v>-0.4</v>
      </c>
      <c r="F26" s="213">
        <f t="shared" si="4"/>
        <v>-0.4</v>
      </c>
      <c r="G26" s="213">
        <f t="shared" si="4"/>
        <v>-0.4</v>
      </c>
      <c r="H26" s="212">
        <f t="shared" si="4"/>
        <v>-0.4</v>
      </c>
      <c r="I26" s="212">
        <f t="shared" si="4"/>
        <v>-0.4</v>
      </c>
      <c r="J26" s="212">
        <f t="shared" si="4"/>
        <v>-0.4</v>
      </c>
      <c r="K26" s="214">
        <f t="shared" si="4"/>
        <v>-0.4</v>
      </c>
      <c r="L26" s="214">
        <f t="shared" si="4"/>
        <v>-0.4</v>
      </c>
      <c r="M26" s="214">
        <f t="shared" si="4"/>
        <v>-0.4</v>
      </c>
      <c r="N26" s="240">
        <f t="shared" si="4"/>
        <v>-0.4</v>
      </c>
    </row>
    <row r="27" spans="1:18" x14ac:dyDescent="0.25">
      <c r="A27" s="15" t="s">
        <v>47</v>
      </c>
      <c r="B27" s="16" t="s">
        <v>28</v>
      </c>
      <c r="C27" s="262">
        <f>IF('Ship data'!$C3&lt;55000,0.07,IF('Ship data'!$C3&lt;170000,0.05,0.04))</f>
        <v>7.0000000000000007E-2</v>
      </c>
      <c r="D27" s="213">
        <f>IF('Ship data'!$C3&lt;55000,0.07,IF('Ship data'!$C3&lt;170000,0.05,0.04))</f>
        <v>7.0000000000000007E-2</v>
      </c>
      <c r="E27" s="213">
        <f>IF('Ship data'!$C3&lt;55000,0.07,IF('Ship data'!$C3&lt;170000,0.05,0.04))</f>
        <v>7.0000000000000007E-2</v>
      </c>
      <c r="F27" s="213">
        <f>IF('Ship data'!$C3&lt;55000,0.07,IF('Ship data'!$C3&lt;170000,0.05,0.04))</f>
        <v>7.0000000000000007E-2</v>
      </c>
      <c r="G27" s="213">
        <f>IF('Ship data'!$C3&lt;55000,0.07,IF('Ship data'!$C3&lt;170000,0.05,0.04))</f>
        <v>7.0000000000000007E-2</v>
      </c>
      <c r="H27" s="212">
        <f>IF('Ship data'!$C3&lt;55000,0.07,IF('Ship data'!$C3&lt;170000,0.05,0.04))</f>
        <v>7.0000000000000007E-2</v>
      </c>
      <c r="I27" s="212">
        <f>IF('Ship data'!$C3&lt;55000,0.07,IF('Ship data'!$C3&lt;170000,0.05,0.04))</f>
        <v>7.0000000000000007E-2</v>
      </c>
      <c r="J27" s="212">
        <f>IF('Ship data'!$C3&lt;55000,0.07,IF('Ship data'!$C3&lt;170000,0.05,0.04))</f>
        <v>7.0000000000000007E-2</v>
      </c>
      <c r="K27" s="214">
        <f>IF('Ship data'!$C3&lt;55000,0.07,IF('Ship data'!$C3&lt;170000,0.05,0.04))</f>
        <v>7.0000000000000007E-2</v>
      </c>
      <c r="L27" s="214">
        <f>IF('Ship data'!$C3&lt;55000,0.07,IF('Ship data'!$C3&lt;170000,0.05,0.04))</f>
        <v>7.0000000000000007E-2</v>
      </c>
      <c r="M27" s="214">
        <f>IF('Ship data'!$C3&lt;55000,0.07,IF('Ship data'!$C3&lt;170000,0.05,0.04))</f>
        <v>7.0000000000000007E-2</v>
      </c>
      <c r="N27" s="240">
        <f>IF('Ship data'!$C3&lt;55000,0.07,IF('Ship data'!$C3&lt;170000,0.05,0.04))</f>
        <v>7.0000000000000007E-2</v>
      </c>
    </row>
    <row r="28" spans="1:18" x14ac:dyDescent="0.25">
      <c r="A28" s="15" t="s">
        <v>48</v>
      </c>
      <c r="B28" s="16" t="s">
        <v>28</v>
      </c>
      <c r="C28" s="87">
        <f>MAX(0.5*LOG10($C7)-0.1*(LOG10($C7))^2,'PS1'!$K19)</f>
        <v>0.52893122232160183</v>
      </c>
      <c r="D28" s="350">
        <f>MAX(0.5*LOG10($C7)-0.1*(LOG10($C7))^2,'PS1'!$K19)</f>
        <v>0.52893122232160183</v>
      </c>
      <c r="E28" s="350">
        <f>MAX(0.5*LOG10($C7)-0.1*(LOG10($C7))^2,'PS1'!$K19)</f>
        <v>0.52893122232160183</v>
      </c>
      <c r="F28" s="350">
        <f>MAX(0.5*LOG10($C7)-0.1*(LOG10($C7))^2,'PS1'!$K19)</f>
        <v>0.52893122232160183</v>
      </c>
      <c r="G28" s="350">
        <f>MAX(0.5*LOG10($C7)-0.1*(LOG10($C7))^2,'PS1'!$K19)</f>
        <v>0.52893122232160183</v>
      </c>
      <c r="H28" s="212">
        <f>MAX(0.5*LOG10($C7)-0.1*(LOG10($C7))^2,'PS1'!$K19)</f>
        <v>0.52893122232160183</v>
      </c>
      <c r="I28" s="212">
        <f>MAX(0.5*LOG10($C7)-0.1*(LOG10($C7))^2,'PS1'!$K19)</f>
        <v>0.52893122232160183</v>
      </c>
      <c r="J28" s="212">
        <f>MAX(0.5*LOG10($C7)-0.1*(LOG10($C7))^2,'PS1'!$K19)</f>
        <v>0.52893122232160183</v>
      </c>
      <c r="K28" s="214">
        <f>MAX(0.5*LOG10($C7)-0.1*(LOG10($C7))^2,'PS1'!$K19)</f>
        <v>0.52893122232160183</v>
      </c>
      <c r="L28" s="214">
        <f>MAX(0.5*LOG10($C7)-0.1*(LOG10($C7))^2,'PS1'!$K19)</f>
        <v>0.52893122232160183</v>
      </c>
      <c r="M28" s="214">
        <f>MAX(0.5*LOG10($C7)-0.1*(LOG10($C7))^2,'PS1'!$K19)</f>
        <v>0.52893122232160183</v>
      </c>
      <c r="N28" s="240">
        <f>MAX(0.5*LOG10($C7)-0.1*(LOG10($C7))^2,'PS1'!$K19)</f>
        <v>0.52893122232160183</v>
      </c>
    </row>
    <row r="29" spans="1:18" x14ac:dyDescent="0.25">
      <c r="A29" s="15" t="s">
        <v>49</v>
      </c>
      <c r="B29" s="16" t="s">
        <v>28</v>
      </c>
      <c r="C29" s="88">
        <f t="shared" ref="C29:N29" si="5">C23+C24+C25+C26+C27+C28</f>
        <v>2.8930582655153652</v>
      </c>
      <c r="D29" s="42">
        <f t="shared" si="5"/>
        <v>3.4239657902982259</v>
      </c>
      <c r="E29" s="42">
        <f t="shared" si="5"/>
        <v>3.6196714617640859</v>
      </c>
      <c r="F29" s="42">
        <f t="shared" si="5"/>
        <v>3.8778960409493131</v>
      </c>
      <c r="G29" s="42">
        <f t="shared" si="5"/>
        <v>4.2347942075556668</v>
      </c>
      <c r="H29" s="88">
        <f t="shared" si="5"/>
        <v>4.7442046547647232</v>
      </c>
      <c r="I29" s="88">
        <f t="shared" si="5"/>
        <v>6.5534865021524658</v>
      </c>
      <c r="J29" s="88">
        <f t="shared" si="5"/>
        <v>10.285100415437302</v>
      </c>
      <c r="K29" s="118">
        <f t="shared" si="5"/>
        <v>5.9592274608404585</v>
      </c>
      <c r="L29" s="118">
        <f t="shared" si="5"/>
        <v>6.067404305844712</v>
      </c>
      <c r="M29" s="118">
        <f t="shared" si="5"/>
        <v>6.1796484087285561</v>
      </c>
      <c r="N29" s="237">
        <f t="shared" si="5"/>
        <v>31.929283361643929</v>
      </c>
    </row>
    <row r="30" spans="1:18" x14ac:dyDescent="0.25">
      <c r="A30" s="15" t="s">
        <v>50</v>
      </c>
      <c r="B30" s="16" t="s">
        <v>51</v>
      </c>
      <c r="C30" s="89">
        <f t="shared" ref="C30:N30" si="6">$K11</f>
        <v>0</v>
      </c>
      <c r="D30" s="43">
        <f t="shared" si="6"/>
        <v>0</v>
      </c>
      <c r="E30" s="43">
        <f t="shared" si="6"/>
        <v>0</v>
      </c>
      <c r="F30" s="43">
        <f t="shared" si="6"/>
        <v>0</v>
      </c>
      <c r="G30" s="43">
        <f t="shared" si="6"/>
        <v>0</v>
      </c>
      <c r="H30" s="89">
        <f t="shared" si="6"/>
        <v>0</v>
      </c>
      <c r="I30" s="89">
        <f t="shared" si="6"/>
        <v>0</v>
      </c>
      <c r="J30" s="89">
        <f t="shared" si="6"/>
        <v>0</v>
      </c>
      <c r="K30" s="119">
        <f t="shared" si="6"/>
        <v>0</v>
      </c>
      <c r="L30" s="119">
        <f t="shared" si="6"/>
        <v>0</v>
      </c>
      <c r="M30" s="119">
        <f t="shared" si="6"/>
        <v>0</v>
      </c>
      <c r="N30" s="242">
        <f t="shared" si="6"/>
        <v>0</v>
      </c>
    </row>
    <row r="31" spans="1:18" x14ac:dyDescent="0.25">
      <c r="A31" s="15" t="s">
        <v>52</v>
      </c>
      <c r="B31" s="16" t="s">
        <v>53</v>
      </c>
      <c r="C31" s="90">
        <v>0</v>
      </c>
      <c r="D31" s="44">
        <v>0</v>
      </c>
      <c r="E31" s="44">
        <v>0</v>
      </c>
      <c r="F31" s="44">
        <v>0</v>
      </c>
      <c r="G31" s="44">
        <v>0</v>
      </c>
      <c r="H31" s="90">
        <v>0</v>
      </c>
      <c r="I31" s="90">
        <v>0</v>
      </c>
      <c r="J31" s="90">
        <v>0</v>
      </c>
      <c r="K31" s="120">
        <v>0</v>
      </c>
      <c r="L31" s="120">
        <v>0</v>
      </c>
      <c r="M31" s="120">
        <v>0</v>
      </c>
      <c r="N31" s="244">
        <v>0</v>
      </c>
    </row>
    <row r="32" spans="1:18" x14ac:dyDescent="0.25">
      <c r="A32" s="15" t="s">
        <v>54</v>
      </c>
      <c r="B32" s="16" t="s">
        <v>53</v>
      </c>
      <c r="C32" s="92">
        <f t="shared" ref="C32:N32" si="7">$C9*$C3*C29*C21^2*0.0001323*(1+C30/100)+C31</f>
        <v>17.96298382132839</v>
      </c>
      <c r="D32" s="46">
        <f t="shared" si="7"/>
        <v>59.382572984142371</v>
      </c>
      <c r="E32" s="46">
        <f t="shared" si="7"/>
        <v>69.099629029624396</v>
      </c>
      <c r="F32" s="46">
        <f t="shared" si="7"/>
        <v>81.12807263974193</v>
      </c>
      <c r="G32" s="46">
        <f t="shared" si="7"/>
        <v>96.701759616368676</v>
      </c>
      <c r="H32" s="92">
        <f t="shared" si="7"/>
        <v>117.81411135219047</v>
      </c>
      <c r="I32" s="92">
        <f t="shared" si="7"/>
        <v>190.58258142329134</v>
      </c>
      <c r="J32" s="92">
        <f t="shared" si="7"/>
        <v>346.23892675064695</v>
      </c>
      <c r="K32" s="122">
        <f t="shared" si="7"/>
        <v>166.67147077461237</v>
      </c>
      <c r="L32" s="122">
        <f t="shared" si="7"/>
        <v>171.01321112643151</v>
      </c>
      <c r="M32" s="122">
        <f t="shared" si="7"/>
        <v>175.52258315992958</v>
      </c>
      <c r="N32" s="244">
        <f t="shared" si="7"/>
        <v>1409.7689273226017</v>
      </c>
    </row>
    <row r="33" spans="1:22" x14ac:dyDescent="0.25">
      <c r="A33" s="15" t="s">
        <v>55</v>
      </c>
      <c r="B33" s="16" t="s">
        <v>56</v>
      </c>
      <c r="C33" s="89">
        <f t="shared" ref="C33:N33" si="8">C32*C21*0.5144</f>
        <v>56.240941845830157</v>
      </c>
      <c r="D33" s="43">
        <f t="shared" si="8"/>
        <v>310.73291946278516</v>
      </c>
      <c r="E33" s="43">
        <f t="shared" si="8"/>
        <v>379.35206627531034</v>
      </c>
      <c r="F33" s="43">
        <f t="shared" si="8"/>
        <v>466.25350952084648</v>
      </c>
      <c r="G33" s="43">
        <f t="shared" si="8"/>
        <v>580.62919217755814</v>
      </c>
      <c r="H33" s="89">
        <f t="shared" si="8"/>
        <v>737.6964901455201</v>
      </c>
      <c r="I33" s="89">
        <f t="shared" si="8"/>
        <v>1291.374065118423</v>
      </c>
      <c r="J33" s="89">
        <f t="shared" si="8"/>
        <v>2524.1957335970151</v>
      </c>
      <c r="K33" s="119">
        <f t="shared" si="8"/>
        <v>1107.5424414549657</v>
      </c>
      <c r="L33" s="119">
        <f t="shared" si="8"/>
        <v>1140.7920398777353</v>
      </c>
      <c r="M33" s="119">
        <f t="shared" si="8"/>
        <v>1175.3875235014182</v>
      </c>
      <c r="N33" s="244">
        <f t="shared" si="8"/>
        <v>11770.387822163859</v>
      </c>
    </row>
    <row r="34" spans="1:22" x14ac:dyDescent="0.25">
      <c r="A34" s="15" t="s">
        <v>57</v>
      </c>
      <c r="B34" s="16" t="s">
        <v>28</v>
      </c>
      <c r="C34" s="88">
        <f t="shared" ref="C34:N34" si="9">$K5*$K6*$K7*C38</f>
        <v>0.65927631097866735</v>
      </c>
      <c r="D34" s="42">
        <f t="shared" si="9"/>
        <v>0.63891348766436684</v>
      </c>
      <c r="E34" s="42">
        <f t="shared" si="9"/>
        <v>0.63187768756787988</v>
      </c>
      <c r="F34" s="42">
        <f t="shared" si="9"/>
        <v>0.62294221635502267</v>
      </c>
      <c r="G34" s="42">
        <f t="shared" si="9"/>
        <v>0.61119157808946056</v>
      </c>
      <c r="H34" s="88">
        <f t="shared" si="9"/>
        <v>0.59549800769663519</v>
      </c>
      <c r="I34" s="88">
        <f t="shared" si="9"/>
        <v>0.54787092996927633</v>
      </c>
      <c r="J34" s="88">
        <f t="shared" si="9"/>
        <v>0.47547300140741983</v>
      </c>
      <c r="K34" s="118">
        <f t="shared" si="9"/>
        <v>0.56231135083267125</v>
      </c>
      <c r="L34" s="118">
        <f t="shared" si="9"/>
        <v>0.55960416824016945</v>
      </c>
      <c r="M34" s="118">
        <f t="shared" si="9"/>
        <v>0.55683319553911947</v>
      </c>
      <c r="N34" s="238">
        <f t="shared" si="9"/>
        <v>0.3019694515920438</v>
      </c>
      <c r="T34" s="258"/>
      <c r="U34" s="258"/>
      <c r="V34" s="258"/>
    </row>
    <row r="35" spans="1:22" x14ac:dyDescent="0.25">
      <c r="A35" s="81" t="s">
        <v>58</v>
      </c>
      <c r="B35" s="117" t="s">
        <v>56</v>
      </c>
      <c r="C35" s="115">
        <f t="shared" ref="C35:N35" si="10">C33/C34</f>
        <v>85.307087346036894</v>
      </c>
      <c r="D35" s="116">
        <f t="shared" si="10"/>
        <v>486.34584409653121</v>
      </c>
      <c r="E35" s="116">
        <f t="shared" si="10"/>
        <v>600.35679964496012</v>
      </c>
      <c r="F35" s="116">
        <f t="shared" si="10"/>
        <v>748.46991788259652</v>
      </c>
      <c r="G35" s="116">
        <f t="shared" si="10"/>
        <v>949.9954073198486</v>
      </c>
      <c r="H35" s="115">
        <f t="shared" si="10"/>
        <v>1238.7891825178451</v>
      </c>
      <c r="I35" s="115">
        <f t="shared" si="10"/>
        <v>2357.0771772666258</v>
      </c>
      <c r="J35" s="115">
        <f t="shared" si="10"/>
        <v>5308.8098086017308</v>
      </c>
      <c r="K35" s="122">
        <f t="shared" si="10"/>
        <v>1969.6249058727262</v>
      </c>
      <c r="L35" s="122">
        <f t="shared" si="10"/>
        <v>2038.569590118087</v>
      </c>
      <c r="M35" s="122">
        <f t="shared" si="10"/>
        <v>2110.8431266627731</v>
      </c>
      <c r="N35" s="246">
        <f t="shared" si="10"/>
        <v>38978.736955370827</v>
      </c>
      <c r="T35" s="258"/>
      <c r="U35" s="259"/>
      <c r="V35" s="259"/>
    </row>
    <row r="36" spans="1:22" x14ac:dyDescent="0.25">
      <c r="A36" s="35" t="s">
        <v>59</v>
      </c>
      <c r="B36" s="37" t="s">
        <v>28</v>
      </c>
      <c r="C36" s="93">
        <f t="shared" ref="C36:N36" si="11">2.54648*C32/(1-$K4)/$C17/$C3/(C39*$C18)^2/$K7</f>
        <v>1.1234112867215764</v>
      </c>
      <c r="D36" s="47">
        <f t="shared" si="11"/>
        <v>1.329569424860642</v>
      </c>
      <c r="E36" s="47">
        <f t="shared" si="11"/>
        <v>1.4055644239316354</v>
      </c>
      <c r="F36" s="47">
        <f t="shared" si="11"/>
        <v>1.5058363093006426</v>
      </c>
      <c r="G36" s="47">
        <f t="shared" si="11"/>
        <v>1.6444244025150008</v>
      </c>
      <c r="H36" s="93">
        <f t="shared" si="11"/>
        <v>1.8422349522678232</v>
      </c>
      <c r="I36" s="93">
        <f t="shared" si="11"/>
        <v>2.5448020842345813</v>
      </c>
      <c r="J36" s="93">
        <f t="shared" si="11"/>
        <v>3.9938351845495097</v>
      </c>
      <c r="K36" s="123">
        <f t="shared" si="11"/>
        <v>2.3140437472166688</v>
      </c>
      <c r="L36" s="123">
        <f t="shared" si="11"/>
        <v>2.3560501907398725</v>
      </c>
      <c r="M36" s="123">
        <f t="shared" si="11"/>
        <v>2.3996360021805505</v>
      </c>
      <c r="N36" s="248">
        <f t="shared" si="11"/>
        <v>12.398546456171163</v>
      </c>
    </row>
    <row r="37" spans="1:22" x14ac:dyDescent="0.25">
      <c r="A37" s="35" t="s">
        <v>60</v>
      </c>
      <c r="B37" s="48" t="s">
        <v>28</v>
      </c>
      <c r="C37" s="93">
        <f t="shared" ref="C37:N37" si="12">(1.3+0.3*$C19)*C32/(1-$K4)/$C17/(99.6+$C3*9.81*0.65*$C18)/$C18^2+C72</f>
        <v>0.25128585937199122</v>
      </c>
      <c r="D37" s="47">
        <f t="shared" si="12"/>
        <v>0.36954233870631581</v>
      </c>
      <c r="E37" s="47">
        <f t="shared" si="12"/>
        <v>0.39728536708151452</v>
      </c>
      <c r="F37" s="47">
        <f t="shared" si="12"/>
        <v>0.43162760518562887</v>
      </c>
      <c r="G37" s="47">
        <f t="shared" si="12"/>
        <v>0.47609181715237014</v>
      </c>
      <c r="H37" s="93">
        <f t="shared" si="12"/>
        <v>0.53636939201995681</v>
      </c>
      <c r="I37" s="93">
        <f t="shared" si="12"/>
        <v>0.74412961492625573</v>
      </c>
      <c r="J37" s="93">
        <f t="shared" si="12"/>
        <v>1.1885418304145459</v>
      </c>
      <c r="K37" s="123">
        <f t="shared" si="12"/>
        <v>0.67586134333207792</v>
      </c>
      <c r="L37" s="123">
        <f t="shared" si="12"/>
        <v>0.68825738439785611</v>
      </c>
      <c r="M37" s="123">
        <f t="shared" si="12"/>
        <v>0.70113202829144883</v>
      </c>
      <c r="N37" s="248">
        <f t="shared" si="12"/>
        <v>4.22501119373179</v>
      </c>
    </row>
    <row r="38" spans="1:22" ht="13.8" thickBot="1" x14ac:dyDescent="0.3">
      <c r="A38" s="35" t="s">
        <v>61</v>
      </c>
      <c r="B38" s="37" t="s">
        <v>28</v>
      </c>
      <c r="C38" s="274">
        <f t="shared" ref="C38:M38" si="13">(1+$K15/100)*IF($K14=1,MAX(0.69,0.81-0.014*C36),IF(C36&lt;7,-0.000205*C36^4+0.00518*C36^3-0.0462*C36^2+0.177*C36+0.59,0.85))/(1+SQRT(1+C36))*2</f>
        <v>0.64648748299640757</v>
      </c>
      <c r="D38" s="269">
        <f t="shared" si="13"/>
        <v>0.6265196634768182</v>
      </c>
      <c r="E38" s="269">
        <f t="shared" si="13"/>
        <v>0.61962034581668324</v>
      </c>
      <c r="F38" s="269">
        <f t="shared" si="13"/>
        <v>0.61085820739673657</v>
      </c>
      <c r="G38" s="269">
        <f t="shared" si="13"/>
        <v>0.59933551132924456</v>
      </c>
      <c r="H38" s="272">
        <f t="shared" si="13"/>
        <v>0.58394636924491305</v>
      </c>
      <c r="I38" s="272">
        <f t="shared" si="13"/>
        <v>0.53724317501558061</v>
      </c>
      <c r="J38" s="272">
        <f t="shared" si="13"/>
        <v>0.46624964190860568</v>
      </c>
      <c r="K38" s="273">
        <f t="shared" si="13"/>
        <v>0.55140347651879518</v>
      </c>
      <c r="L38" s="273">
        <f t="shared" si="13"/>
        <v>0.54874880861841191</v>
      </c>
      <c r="M38" s="273">
        <f t="shared" si="13"/>
        <v>0.54603158802801288</v>
      </c>
      <c r="N38" s="270">
        <f>IF($K14=1,MAX(0.69,0.81-0.014*N36),IF(N36&lt;7,-0.000205*N36^4+0.00518*N36^3-0.0462*N36^2+0.177*N36+0.59,0.85))/(1+SQRT(1+N36))*2</f>
        <v>0.29611176292949315</v>
      </c>
    </row>
    <row r="39" spans="1:22" ht="13.8" thickTop="1" x14ac:dyDescent="0.25">
      <c r="A39" s="50" t="s">
        <v>62</v>
      </c>
      <c r="B39" s="51" t="s">
        <v>63</v>
      </c>
      <c r="C39" s="94">
        <f t="shared" ref="C39:N39" si="14">C21*0.5144*(1-$K3)</f>
        <v>2.330200401817347</v>
      </c>
      <c r="D39" s="52">
        <f t="shared" si="14"/>
        <v>3.8944615531241316</v>
      </c>
      <c r="E39" s="52">
        <f t="shared" si="14"/>
        <v>4.0858827955766071</v>
      </c>
      <c r="F39" s="52">
        <f t="shared" si="14"/>
        <v>4.2773040380290821</v>
      </c>
      <c r="G39" s="52">
        <f t="shared" si="14"/>
        <v>4.468725280481558</v>
      </c>
      <c r="H39" s="52">
        <f t="shared" si="14"/>
        <v>4.6601465229340331</v>
      </c>
      <c r="I39" s="52">
        <f t="shared" si="14"/>
        <v>5.0429890078389841</v>
      </c>
      <c r="J39" s="52">
        <f t="shared" si="14"/>
        <v>5.4258314927439351</v>
      </c>
      <c r="K39" s="52">
        <f t="shared" si="14"/>
        <v>4.9455918979057119</v>
      </c>
      <c r="L39" s="52">
        <f t="shared" si="14"/>
        <v>4.9647340221509593</v>
      </c>
      <c r="M39" s="52">
        <f t="shared" si="14"/>
        <v>4.9838761463962067</v>
      </c>
      <c r="N39" s="264">
        <f t="shared" si="14"/>
        <v>6.2138677381795917</v>
      </c>
    </row>
    <row r="40" spans="1:22" x14ac:dyDescent="0.25">
      <c r="A40" s="35" t="s">
        <v>64</v>
      </c>
      <c r="B40" s="37" t="s">
        <v>63</v>
      </c>
      <c r="C40" s="93">
        <f t="shared" ref="C40:N40" si="15">C39*SQRT(1+C36)</f>
        <v>3.3955515921719601</v>
      </c>
      <c r="D40" s="47">
        <f t="shared" si="15"/>
        <v>5.9440882629327625</v>
      </c>
      <c r="E40" s="47">
        <f t="shared" si="15"/>
        <v>6.3371560386032346</v>
      </c>
      <c r="F40" s="47">
        <f t="shared" si="15"/>
        <v>6.7709011060579449</v>
      </c>
      <c r="G40" s="47">
        <f t="shared" si="15"/>
        <v>7.2669008525312169</v>
      </c>
      <c r="H40" s="47">
        <f t="shared" si="15"/>
        <v>7.856508049302831</v>
      </c>
      <c r="I40" s="47">
        <f t="shared" si="15"/>
        <v>9.4947605730856441</v>
      </c>
      <c r="J40" s="47">
        <f t="shared" si="15"/>
        <v>12.125046265692639</v>
      </c>
      <c r="K40" s="47">
        <f t="shared" si="15"/>
        <v>9.0032103021677017</v>
      </c>
      <c r="L40" s="47">
        <f t="shared" si="15"/>
        <v>9.0951572133187106</v>
      </c>
      <c r="M40" s="47">
        <f t="shared" si="15"/>
        <v>9.1893216047353459</v>
      </c>
      <c r="N40" s="265">
        <f t="shared" si="15"/>
        <v>22.745256998549127</v>
      </c>
    </row>
    <row r="41" spans="1:22" x14ac:dyDescent="0.25">
      <c r="A41" s="35" t="s">
        <v>65</v>
      </c>
      <c r="B41" s="37" t="s">
        <v>63</v>
      </c>
      <c r="C41" s="93">
        <f t="shared" ref="C41:N41" si="16">C40-C39</f>
        <v>1.0653511903546131</v>
      </c>
      <c r="D41" s="47">
        <f t="shared" si="16"/>
        <v>2.0496267098086309</v>
      </c>
      <c r="E41" s="47">
        <f t="shared" si="16"/>
        <v>2.2512732430266276</v>
      </c>
      <c r="F41" s="47">
        <f t="shared" si="16"/>
        <v>2.4935970680288628</v>
      </c>
      <c r="G41" s="47">
        <f t="shared" si="16"/>
        <v>2.7981755720496588</v>
      </c>
      <c r="H41" s="47">
        <f t="shared" si="16"/>
        <v>3.1963615263687979</v>
      </c>
      <c r="I41" s="47">
        <f t="shared" si="16"/>
        <v>4.4517715652466601</v>
      </c>
      <c r="J41" s="47">
        <f t="shared" si="16"/>
        <v>6.6992147729487037</v>
      </c>
      <c r="K41" s="47">
        <f t="shared" si="16"/>
        <v>4.0576184042619898</v>
      </c>
      <c r="L41" s="47">
        <f t="shared" si="16"/>
        <v>4.1304231911677514</v>
      </c>
      <c r="M41" s="47">
        <f t="shared" si="16"/>
        <v>4.2054454583391392</v>
      </c>
      <c r="N41" s="265">
        <f t="shared" si="16"/>
        <v>16.531389260369536</v>
      </c>
    </row>
    <row r="42" spans="1:22" x14ac:dyDescent="0.25">
      <c r="A42" s="35" t="s">
        <v>66</v>
      </c>
      <c r="B42" s="37" t="s">
        <v>28</v>
      </c>
      <c r="C42" s="93">
        <f t="shared" ref="C42:N42" si="17">C40/C39</f>
        <v>1.4571929476639585</v>
      </c>
      <c r="D42" s="47">
        <f t="shared" si="17"/>
        <v>1.5262927061545706</v>
      </c>
      <c r="E42" s="47">
        <f t="shared" si="17"/>
        <v>1.5509882088306266</v>
      </c>
      <c r="F42" s="47">
        <f t="shared" si="17"/>
        <v>1.5829833572405752</v>
      </c>
      <c r="G42" s="47">
        <f t="shared" si="17"/>
        <v>1.6261686267158768</v>
      </c>
      <c r="H42" s="47">
        <f t="shared" si="17"/>
        <v>1.6858929243186898</v>
      </c>
      <c r="I42" s="47">
        <f t="shared" si="17"/>
        <v>1.8827644792258487</v>
      </c>
      <c r="J42" s="47">
        <f t="shared" si="17"/>
        <v>2.2346890576877825</v>
      </c>
      <c r="K42" s="47">
        <f t="shared" si="17"/>
        <v>1.8204515228966327</v>
      </c>
      <c r="L42" s="47">
        <f t="shared" si="17"/>
        <v>1.8319525623606832</v>
      </c>
      <c r="M42" s="47">
        <f t="shared" si="17"/>
        <v>1.8438101860496787</v>
      </c>
      <c r="N42" s="265">
        <f t="shared" si="17"/>
        <v>3.6604024992029447</v>
      </c>
    </row>
    <row r="43" spans="1:22" x14ac:dyDescent="0.25">
      <c r="A43" s="35" t="s">
        <v>67</v>
      </c>
      <c r="B43" s="37" t="s">
        <v>63</v>
      </c>
      <c r="C43" s="93">
        <f t="shared" ref="C43:N43" si="18">C39+0.5*C41</f>
        <v>2.8628759969946538</v>
      </c>
      <c r="D43" s="47">
        <f t="shared" si="18"/>
        <v>4.9192749080284468</v>
      </c>
      <c r="E43" s="47">
        <f t="shared" si="18"/>
        <v>5.2115194170899208</v>
      </c>
      <c r="F43" s="47">
        <f t="shared" si="18"/>
        <v>5.524102572043514</v>
      </c>
      <c r="G43" s="47">
        <f t="shared" si="18"/>
        <v>5.8678130665063879</v>
      </c>
      <c r="H43" s="47">
        <f t="shared" si="18"/>
        <v>6.2583272861184316</v>
      </c>
      <c r="I43" s="47">
        <f t="shared" si="18"/>
        <v>7.2688747904623146</v>
      </c>
      <c r="J43" s="47">
        <f t="shared" si="18"/>
        <v>8.7754388792182869</v>
      </c>
      <c r="K43" s="47">
        <f t="shared" si="18"/>
        <v>6.9744011000367063</v>
      </c>
      <c r="L43" s="47">
        <f t="shared" si="18"/>
        <v>7.0299456177348354</v>
      </c>
      <c r="M43" s="47">
        <f t="shared" si="18"/>
        <v>7.0865988755657767</v>
      </c>
      <c r="N43" s="265">
        <f t="shared" si="18"/>
        <v>14.479562368364359</v>
      </c>
    </row>
    <row r="44" spans="1:22" x14ac:dyDescent="0.25">
      <c r="A44" s="35" t="s">
        <v>68</v>
      </c>
      <c r="B44" s="37" t="s">
        <v>69</v>
      </c>
      <c r="C44" s="92">
        <f t="shared" ref="C44:N44" si="19">0.785*$C18^2*C43</f>
        <v>21.229575361011825</v>
      </c>
      <c r="D44" s="46">
        <f t="shared" si="19"/>
        <v>36.478742876448607</v>
      </c>
      <c r="E44" s="46">
        <f t="shared" si="19"/>
        <v>38.645873704146155</v>
      </c>
      <c r="F44" s="46">
        <f t="shared" si="19"/>
        <v>40.963825180785861</v>
      </c>
      <c r="G44" s="46">
        <f t="shared" si="19"/>
        <v>43.512600556397722</v>
      </c>
      <c r="H44" s="46">
        <f t="shared" si="19"/>
        <v>46.408447621902347</v>
      </c>
      <c r="I44" s="46">
        <f t="shared" si="19"/>
        <v>53.902133838794732</v>
      </c>
      <c r="J44" s="46">
        <f t="shared" si="19"/>
        <v>65.074016900448257</v>
      </c>
      <c r="K44" s="46">
        <f t="shared" si="19"/>
        <v>51.718472580225253</v>
      </c>
      <c r="L44" s="46">
        <f t="shared" si="19"/>
        <v>52.130361368143888</v>
      </c>
      <c r="M44" s="46">
        <f t="shared" si="19"/>
        <v>52.550471986917238</v>
      </c>
      <c r="N44" s="244">
        <f t="shared" si="19"/>
        <v>107.37278206123996</v>
      </c>
    </row>
    <row r="45" spans="1:22" ht="13.8" thickBot="1" x14ac:dyDescent="0.3">
      <c r="A45" s="35" t="s">
        <v>70</v>
      </c>
      <c r="B45" s="37" t="s">
        <v>28</v>
      </c>
      <c r="C45" s="88">
        <f>C61+C62+C114</f>
        <v>0.67351412501459762</v>
      </c>
      <c r="D45" s="135">
        <f t="shared" ref="D45:N45" si="20">D61+D62+D114</f>
        <v>1.4417269081799344</v>
      </c>
      <c r="E45" s="135">
        <f t="shared" si="20"/>
        <v>1.6488381115764674</v>
      </c>
      <c r="F45" s="135">
        <f t="shared" si="20"/>
        <v>1.9178442106222422</v>
      </c>
      <c r="G45" s="135">
        <f t="shared" si="20"/>
        <v>2.2849600284533125</v>
      </c>
      <c r="H45" s="135">
        <f t="shared" si="20"/>
        <v>2.8040763192299236</v>
      </c>
      <c r="I45" s="135">
        <f t="shared" si="20"/>
        <v>4.6314101957255298</v>
      </c>
      <c r="J45" s="135">
        <f t="shared" si="20"/>
        <v>8.3795051041994117</v>
      </c>
      <c r="K45" s="135">
        <f t="shared" si="20"/>
        <v>4.0327182390824854</v>
      </c>
      <c r="L45" s="135">
        <f t="shared" si="20"/>
        <v>4.1417745257801206</v>
      </c>
      <c r="M45" s="135">
        <f t="shared" si="20"/>
        <v>4.2548940185876871</v>
      </c>
      <c r="N45" s="266">
        <f t="shared" si="20"/>
        <v>30.053613949129804</v>
      </c>
    </row>
    <row r="46" spans="1:22" x14ac:dyDescent="0.25">
      <c r="A46" s="50"/>
      <c r="B46" s="55" t="s">
        <v>71</v>
      </c>
      <c r="C46" s="54">
        <f t="shared" ref="C46:N46" si="21">1.35-0.23*$C13+0.012*$C13^2</f>
        <v>0.51791096127662084</v>
      </c>
      <c r="D46" s="54">
        <f t="shared" si="21"/>
        <v>0.51791096127662084</v>
      </c>
      <c r="E46" s="54">
        <f t="shared" si="21"/>
        <v>0.51791096127662084</v>
      </c>
      <c r="F46" s="54">
        <f t="shared" si="21"/>
        <v>0.51791096127662084</v>
      </c>
      <c r="G46" s="54">
        <f t="shared" si="21"/>
        <v>0.51791096127662084</v>
      </c>
      <c r="H46" s="54">
        <f t="shared" si="21"/>
        <v>0.51791096127662084</v>
      </c>
      <c r="I46" s="54">
        <f t="shared" si="21"/>
        <v>0.51791096127662084</v>
      </c>
      <c r="J46" s="54">
        <f t="shared" si="21"/>
        <v>0.51791096127662084</v>
      </c>
      <c r="K46" s="54">
        <f t="shared" si="21"/>
        <v>0.51791096127662084</v>
      </c>
      <c r="L46" s="54">
        <f t="shared" si="21"/>
        <v>0.51791096127662084</v>
      </c>
      <c r="M46" s="54">
        <f t="shared" si="21"/>
        <v>0.51791096127662084</v>
      </c>
      <c r="N46" s="57">
        <f t="shared" si="21"/>
        <v>0.51791096127662084</v>
      </c>
    </row>
    <row r="47" spans="1:22" x14ac:dyDescent="0.25">
      <c r="A47" s="35"/>
      <c r="B47" s="53" t="s">
        <v>72</v>
      </c>
      <c r="C47" s="43">
        <f t="shared" ref="C47:N47" si="22">0.0011*$C13^9.1</f>
        <v>1876.9750401177689</v>
      </c>
      <c r="D47" s="43">
        <f t="shared" si="22"/>
        <v>1876.9750401177689</v>
      </c>
      <c r="E47" s="43">
        <f t="shared" si="22"/>
        <v>1876.9750401177689</v>
      </c>
      <c r="F47" s="43">
        <f t="shared" si="22"/>
        <v>1876.9750401177689</v>
      </c>
      <c r="G47" s="43">
        <f t="shared" si="22"/>
        <v>1876.9750401177689</v>
      </c>
      <c r="H47" s="43">
        <f t="shared" si="22"/>
        <v>1876.9750401177689</v>
      </c>
      <c r="I47" s="43">
        <f t="shared" si="22"/>
        <v>1876.9750401177689</v>
      </c>
      <c r="J47" s="43">
        <f t="shared" si="22"/>
        <v>1876.9750401177689</v>
      </c>
      <c r="K47" s="43">
        <f t="shared" si="22"/>
        <v>1876.9750401177689</v>
      </c>
      <c r="L47" s="43">
        <f t="shared" si="22"/>
        <v>1876.9750401177689</v>
      </c>
      <c r="M47" s="43">
        <f t="shared" si="22"/>
        <v>1876.9750401177689</v>
      </c>
      <c r="N47" s="46">
        <f t="shared" si="22"/>
        <v>1876.9750401177689</v>
      </c>
    </row>
    <row r="48" spans="1:22" x14ac:dyDescent="0.25">
      <c r="A48" s="35"/>
      <c r="B48" s="53" t="s">
        <v>73</v>
      </c>
      <c r="C48" s="42">
        <f t="shared" ref="C48:N48" si="23">2*$C13-3.7</f>
        <v>5.9799339201770669</v>
      </c>
      <c r="D48" s="42">
        <f t="shared" si="23"/>
        <v>5.9799339201770669</v>
      </c>
      <c r="E48" s="42">
        <f t="shared" si="23"/>
        <v>5.9799339201770669</v>
      </c>
      <c r="F48" s="42">
        <f t="shared" si="23"/>
        <v>5.9799339201770669</v>
      </c>
      <c r="G48" s="42">
        <f t="shared" si="23"/>
        <v>5.9799339201770669</v>
      </c>
      <c r="H48" s="42">
        <f t="shared" si="23"/>
        <v>5.9799339201770669</v>
      </c>
      <c r="I48" s="42">
        <f t="shared" si="23"/>
        <v>5.9799339201770669</v>
      </c>
      <c r="J48" s="42">
        <f t="shared" si="23"/>
        <v>5.9799339201770669</v>
      </c>
      <c r="K48" s="42">
        <f t="shared" si="23"/>
        <v>5.9799339201770669</v>
      </c>
      <c r="L48" s="42">
        <f t="shared" si="23"/>
        <v>5.9799339201770669</v>
      </c>
      <c r="M48" s="42">
        <f t="shared" si="23"/>
        <v>5.9799339201770669</v>
      </c>
      <c r="N48" s="56">
        <f t="shared" si="23"/>
        <v>5.9799339201770669</v>
      </c>
    </row>
    <row r="49" spans="1:14" x14ac:dyDescent="0.25">
      <c r="A49" s="35"/>
      <c r="B49" s="53" t="s">
        <v>74</v>
      </c>
      <c r="C49" s="42">
        <f t="shared" ref="C49:N49" si="24">7-0.09*$C13^2</f>
        <v>4.8917247842726219</v>
      </c>
      <c r="D49" s="42">
        <f t="shared" si="24"/>
        <v>4.8917247842726219</v>
      </c>
      <c r="E49" s="42">
        <f t="shared" si="24"/>
        <v>4.8917247842726219</v>
      </c>
      <c r="F49" s="42">
        <f t="shared" si="24"/>
        <v>4.8917247842726219</v>
      </c>
      <c r="G49" s="42">
        <f t="shared" si="24"/>
        <v>4.8917247842726219</v>
      </c>
      <c r="H49" s="42">
        <f t="shared" si="24"/>
        <v>4.8917247842726219</v>
      </c>
      <c r="I49" s="42">
        <f t="shared" si="24"/>
        <v>4.8917247842726219</v>
      </c>
      <c r="J49" s="42">
        <f t="shared" si="24"/>
        <v>4.8917247842726219</v>
      </c>
      <c r="K49" s="42">
        <f t="shared" si="24"/>
        <v>4.8917247842726219</v>
      </c>
      <c r="L49" s="42">
        <f t="shared" si="24"/>
        <v>4.8917247842726219</v>
      </c>
      <c r="M49" s="42">
        <f t="shared" si="24"/>
        <v>4.8917247842726219</v>
      </c>
      <c r="N49" s="56">
        <f t="shared" si="24"/>
        <v>4.8917247842726219</v>
      </c>
    </row>
    <row r="50" spans="1:14" x14ac:dyDescent="0.25">
      <c r="A50" s="35"/>
      <c r="B50" s="53" t="s">
        <v>75</v>
      </c>
      <c r="C50" s="42">
        <f t="shared" ref="C50:N50" si="25">(5*$C12-2.5)^2</f>
        <v>2.0425547958472321</v>
      </c>
      <c r="D50" s="42">
        <f t="shared" si="25"/>
        <v>2.0425547958472321</v>
      </c>
      <c r="E50" s="42">
        <f t="shared" si="25"/>
        <v>2.0425547958472321</v>
      </c>
      <c r="F50" s="42">
        <f t="shared" si="25"/>
        <v>2.0425547958472321</v>
      </c>
      <c r="G50" s="42">
        <f t="shared" si="25"/>
        <v>2.0425547958472321</v>
      </c>
      <c r="H50" s="42">
        <f t="shared" si="25"/>
        <v>2.0425547958472321</v>
      </c>
      <c r="I50" s="42">
        <f t="shared" si="25"/>
        <v>2.0425547958472321</v>
      </c>
      <c r="J50" s="42">
        <f t="shared" si="25"/>
        <v>2.0425547958472321</v>
      </c>
      <c r="K50" s="42">
        <f t="shared" si="25"/>
        <v>2.0425547958472321</v>
      </c>
      <c r="L50" s="42">
        <f t="shared" si="25"/>
        <v>2.0425547958472321</v>
      </c>
      <c r="M50" s="42">
        <f t="shared" si="25"/>
        <v>2.0425547958472321</v>
      </c>
      <c r="N50" s="56">
        <f t="shared" si="25"/>
        <v>2.0425547958472321</v>
      </c>
    </row>
    <row r="51" spans="1:14" x14ac:dyDescent="0.25">
      <c r="A51" s="35"/>
      <c r="B51" s="53" t="s">
        <v>76</v>
      </c>
      <c r="C51" s="42">
        <f t="shared" ref="C51:N51" si="26">(600*(C22-0.315)^2+1)^1.5</f>
        <v>116.21866402766382</v>
      </c>
      <c r="D51" s="42">
        <f t="shared" si="26"/>
        <v>26.365644653148415</v>
      </c>
      <c r="E51" s="42">
        <f t="shared" si="26"/>
        <v>20.798874499411056</v>
      </c>
      <c r="F51" s="42">
        <f t="shared" si="26"/>
        <v>16.130584006034162</v>
      </c>
      <c r="G51" s="42">
        <f t="shared" si="26"/>
        <v>12.277002360042575</v>
      </c>
      <c r="H51" s="42">
        <f t="shared" si="26"/>
        <v>9.1546672481812088</v>
      </c>
      <c r="I51" s="42">
        <f t="shared" si="26"/>
        <v>4.7726452880337096</v>
      </c>
      <c r="J51" s="42">
        <f t="shared" si="26"/>
        <v>2.3342076079393079</v>
      </c>
      <c r="K51" s="42">
        <f t="shared" si="26"/>
        <v>5.6777544923844143</v>
      </c>
      <c r="L51" s="42">
        <f t="shared" si="26"/>
        <v>5.48944924831466</v>
      </c>
      <c r="M51" s="42">
        <f t="shared" si="26"/>
        <v>5.3063236401157843</v>
      </c>
      <c r="N51" s="56">
        <f t="shared" si="26"/>
        <v>1.0225841652402019</v>
      </c>
    </row>
    <row r="52" spans="1:14" x14ac:dyDescent="0.25">
      <c r="A52" s="35"/>
      <c r="B52" s="53" t="s">
        <v>77</v>
      </c>
      <c r="C52" s="42">
        <f t="shared" ref="C52:N52" si="27">C49*C50/C51</f>
        <v>8.5972558725184459E-2</v>
      </c>
      <c r="D52" s="42">
        <f t="shared" si="27"/>
        <v>0.37896345981768653</v>
      </c>
      <c r="E52" s="42">
        <f t="shared" si="27"/>
        <v>0.48039214421740634</v>
      </c>
      <c r="F52" s="42">
        <f t="shared" si="27"/>
        <v>0.61942059347281697</v>
      </c>
      <c r="G52" s="42">
        <f t="shared" si="27"/>
        <v>0.81384817116270081</v>
      </c>
      <c r="H52" s="42">
        <f t="shared" si="27"/>
        <v>1.0914231666984817</v>
      </c>
      <c r="I52" s="42">
        <f t="shared" si="27"/>
        <v>2.0935173923636117</v>
      </c>
      <c r="J52" s="42">
        <f t="shared" si="27"/>
        <v>4.2805172445229234</v>
      </c>
      <c r="K52" s="42">
        <f t="shared" si="27"/>
        <v>1.7597830148314073</v>
      </c>
      <c r="L52" s="42">
        <f t="shared" si="27"/>
        <v>1.8201490652542933</v>
      </c>
      <c r="M52" s="42">
        <f t="shared" si="27"/>
        <v>1.8829639116891093</v>
      </c>
      <c r="N52" s="56">
        <f t="shared" si="27"/>
        <v>9.7709472312568142</v>
      </c>
    </row>
    <row r="53" spans="1:14" x14ac:dyDescent="0.25">
      <c r="A53" s="35"/>
      <c r="B53" s="53"/>
      <c r="C53" s="42">
        <f t="shared" ref="C53:N53" si="28">C22-(0.04+0.59*$C12)-0.015*($C13-5)</f>
        <v>-0.38124271647159441</v>
      </c>
      <c r="D53" s="42">
        <f t="shared" si="28"/>
        <v>-0.30068683895547338</v>
      </c>
      <c r="E53" s="42">
        <f t="shared" si="28"/>
        <v>-0.29082908205337088</v>
      </c>
      <c r="F53" s="42">
        <f t="shared" si="28"/>
        <v>-0.28097132515126833</v>
      </c>
      <c r="G53" s="42">
        <f t="shared" si="28"/>
        <v>-0.27111356824916583</v>
      </c>
      <c r="H53" s="42">
        <f t="shared" si="28"/>
        <v>-0.26125581134706327</v>
      </c>
      <c r="I53" s="42">
        <f t="shared" si="28"/>
        <v>-0.24154029754285822</v>
      </c>
      <c r="J53" s="42">
        <f t="shared" si="28"/>
        <v>-0.22182478373865316</v>
      </c>
      <c r="K53" s="42">
        <f t="shared" si="28"/>
        <v>-0.24655602631145568</v>
      </c>
      <c r="L53" s="42">
        <f t="shared" si="28"/>
        <v>-0.24557025062124543</v>
      </c>
      <c r="M53" s="42">
        <f t="shared" si="28"/>
        <v>-0.24458447493103519</v>
      </c>
      <c r="N53" s="56">
        <f t="shared" si="28"/>
        <v>-0.1812427164715944</v>
      </c>
    </row>
    <row r="54" spans="1:14" x14ac:dyDescent="0.25">
      <c r="A54" s="18"/>
      <c r="B54" s="53" t="s">
        <v>78</v>
      </c>
      <c r="C54" s="42">
        <f t="shared" ref="C54:N54" si="29">EXP(80*C53)</f>
        <v>5.6789933174893766E-14</v>
      </c>
      <c r="D54" s="42">
        <f t="shared" si="29"/>
        <v>3.5732977414028468E-11</v>
      </c>
      <c r="E54" s="42">
        <f t="shared" si="29"/>
        <v>7.862538028160401E-11</v>
      </c>
      <c r="F54" s="42">
        <f t="shared" si="29"/>
        <v>1.7300406716177771E-10</v>
      </c>
      <c r="G54" s="42">
        <f t="shared" si="29"/>
        <v>3.806710650850677E-10</v>
      </c>
      <c r="H54" s="42">
        <f t="shared" si="29"/>
        <v>8.3761302361460523E-10</v>
      </c>
      <c r="I54" s="42">
        <f t="shared" si="29"/>
        <v>4.0553704247469232E-9</v>
      </c>
      <c r="J54" s="42">
        <f t="shared" si="29"/>
        <v>1.9634400156460602E-8</v>
      </c>
      <c r="K54" s="42">
        <f t="shared" si="29"/>
        <v>2.7149776791103719E-9</v>
      </c>
      <c r="L54" s="42">
        <f t="shared" si="29"/>
        <v>2.9377553026872023E-9</v>
      </c>
      <c r="M54" s="42">
        <f t="shared" si="29"/>
        <v>3.1788129548434215E-9</v>
      </c>
      <c r="N54" s="56">
        <f t="shared" si="29"/>
        <v>5.0464162264436253E-7</v>
      </c>
    </row>
    <row r="55" spans="1:14" x14ac:dyDescent="0.25">
      <c r="A55" s="18"/>
      <c r="B55" s="53"/>
      <c r="C55" s="42">
        <f t="shared" ref="C55:N55" si="30">20*$C12-16</f>
        <v>-0.28328094677062943</v>
      </c>
      <c r="D55" s="42">
        <f t="shared" si="30"/>
        <v>-0.28328094677062943</v>
      </c>
      <c r="E55" s="42">
        <f t="shared" si="30"/>
        <v>-0.28328094677062943</v>
      </c>
      <c r="F55" s="42">
        <f t="shared" si="30"/>
        <v>-0.28328094677062943</v>
      </c>
      <c r="G55" s="42">
        <f t="shared" si="30"/>
        <v>-0.28328094677062943</v>
      </c>
      <c r="H55" s="42">
        <f t="shared" si="30"/>
        <v>-0.28328094677062943</v>
      </c>
      <c r="I55" s="42">
        <f t="shared" si="30"/>
        <v>-0.28328094677062943</v>
      </c>
      <c r="J55" s="42">
        <f t="shared" si="30"/>
        <v>-0.28328094677062943</v>
      </c>
      <c r="K55" s="42">
        <f t="shared" si="30"/>
        <v>-0.28328094677062943</v>
      </c>
      <c r="L55" s="42">
        <f t="shared" si="30"/>
        <v>-0.28328094677062943</v>
      </c>
      <c r="M55" s="42">
        <f t="shared" si="30"/>
        <v>-0.28328094677062943</v>
      </c>
      <c r="N55" s="56">
        <f t="shared" si="30"/>
        <v>-0.28328094677062943</v>
      </c>
    </row>
    <row r="56" spans="1:14" x14ac:dyDescent="0.25">
      <c r="A56" s="18"/>
      <c r="B56" s="53" t="s">
        <v>79</v>
      </c>
      <c r="C56" s="42">
        <f t="shared" ref="C56:N56" si="31">180*C22^3.7*EXP(C55)</f>
        <v>5.3114826044910156E-2</v>
      </c>
      <c r="D56" s="42">
        <f t="shared" si="31"/>
        <v>0.35523529627615397</v>
      </c>
      <c r="E56" s="42">
        <f t="shared" si="31"/>
        <v>0.42424672774763872</v>
      </c>
      <c r="F56" s="42">
        <f t="shared" si="31"/>
        <v>0.50256252899129816</v>
      </c>
      <c r="G56" s="42">
        <f t="shared" si="31"/>
        <v>0.59093564078763172</v>
      </c>
      <c r="H56" s="42">
        <f t="shared" si="31"/>
        <v>0.69014297232513677</v>
      </c>
      <c r="I56" s="42">
        <f t="shared" si="31"/>
        <v>0.92428591238187408</v>
      </c>
      <c r="J56" s="42">
        <f t="shared" si="31"/>
        <v>1.2116745089967649</v>
      </c>
      <c r="K56" s="42">
        <f t="shared" si="31"/>
        <v>0.8599402486533354</v>
      </c>
      <c r="L56" s="42">
        <f t="shared" si="31"/>
        <v>0.87231995066116197</v>
      </c>
      <c r="M56" s="42">
        <f t="shared" si="31"/>
        <v>0.88482920052253311</v>
      </c>
      <c r="N56" s="56">
        <f t="shared" si="31"/>
        <v>2.001244138335013</v>
      </c>
    </row>
    <row r="57" spans="1:14" x14ac:dyDescent="0.25">
      <c r="A57" s="18"/>
      <c r="B57" s="53"/>
      <c r="C57" s="42">
        <f t="shared" ref="C57:N57" si="32">C46+1.5*C22^1.8+C47*C22^(C48)</f>
        <v>0.55676704460555493</v>
      </c>
      <c r="D57" s="42">
        <f t="shared" si="32"/>
        <v>0.72725500509168595</v>
      </c>
      <c r="E57" s="42">
        <f t="shared" si="32"/>
        <v>0.77668249641529608</v>
      </c>
      <c r="F57" s="42">
        <f t="shared" si="32"/>
        <v>0.83740585049616012</v>
      </c>
      <c r="G57" s="42">
        <f t="shared" si="32"/>
        <v>0.91162046525415175</v>
      </c>
      <c r="H57" s="42">
        <f t="shared" si="32"/>
        <v>1.0018351715800176</v>
      </c>
      <c r="I57" s="42">
        <f t="shared" si="32"/>
        <v>1.242038591353817</v>
      </c>
      <c r="J57" s="42">
        <f t="shared" si="32"/>
        <v>1.5854626725538501</v>
      </c>
      <c r="K57" s="42">
        <f t="shared" si="32"/>
        <v>1.1723406752069647</v>
      </c>
      <c r="L57" s="42">
        <f t="shared" si="32"/>
        <v>1.1855378726597188</v>
      </c>
      <c r="M57" s="42">
        <f t="shared" si="32"/>
        <v>1.1989763679691017</v>
      </c>
      <c r="N57" s="56">
        <f t="shared" si="32"/>
        <v>2.7728210210823812</v>
      </c>
    </row>
    <row r="58" spans="1:14" x14ac:dyDescent="0.25">
      <c r="A58" s="35"/>
      <c r="B58" s="53"/>
      <c r="C58" s="42">
        <f t="shared" ref="C58:N58" si="33">0.98+2.5/($C13-2)^4</f>
        <v>1.0184314577907001</v>
      </c>
      <c r="D58" s="42">
        <f t="shared" si="33"/>
        <v>1.0184314577907001</v>
      </c>
      <c r="E58" s="42">
        <f t="shared" si="33"/>
        <v>1.0184314577907001</v>
      </c>
      <c r="F58" s="42">
        <f t="shared" si="33"/>
        <v>1.0184314577907001</v>
      </c>
      <c r="G58" s="42">
        <f t="shared" si="33"/>
        <v>1.0184314577907001</v>
      </c>
      <c r="H58" s="42">
        <f t="shared" si="33"/>
        <v>1.0184314577907001</v>
      </c>
      <c r="I58" s="42">
        <f t="shared" si="33"/>
        <v>1.0184314577907001</v>
      </c>
      <c r="J58" s="42">
        <f t="shared" si="33"/>
        <v>1.0184314577907001</v>
      </c>
      <c r="K58" s="42">
        <f t="shared" si="33"/>
        <v>1.0184314577907001</v>
      </c>
      <c r="L58" s="42">
        <f t="shared" si="33"/>
        <v>1.0184314577907001</v>
      </c>
      <c r="M58" s="42">
        <f t="shared" si="33"/>
        <v>1.0184314577907001</v>
      </c>
      <c r="N58" s="56">
        <f t="shared" si="33"/>
        <v>1.0184314577907001</v>
      </c>
    </row>
    <row r="59" spans="1:14" x14ac:dyDescent="0.25">
      <c r="A59" s="35"/>
      <c r="B59" s="53"/>
      <c r="C59" s="42">
        <f t="shared" ref="C59:N59" si="34">($C13-5)^4*(C22-0.1)^4</f>
        <v>1.0494423897724807E-10</v>
      </c>
      <c r="D59" s="42">
        <f t="shared" si="34"/>
        <v>6.7060758466725838E-8</v>
      </c>
      <c r="E59" s="42">
        <f t="shared" si="34"/>
        <v>9.7483124801911939E-8</v>
      </c>
      <c r="F59" s="42">
        <f t="shared" si="34"/>
        <v>1.3724229121356253E-7</v>
      </c>
      <c r="G59" s="42">
        <f t="shared" si="34"/>
        <v>1.8807755403886009E-7</v>
      </c>
      <c r="H59" s="42">
        <f t="shared" si="34"/>
        <v>2.5187685871275862E-7</v>
      </c>
      <c r="I59" s="42">
        <f t="shared" si="34"/>
        <v>4.2666262083502965E-7</v>
      </c>
      <c r="J59" s="42">
        <f t="shared" si="34"/>
        <v>6.7967612301542778E-7</v>
      </c>
      <c r="K59" s="42">
        <f t="shared" si="34"/>
        <v>3.7553498960050694E-7</v>
      </c>
      <c r="L59" s="42">
        <f t="shared" si="34"/>
        <v>3.8519960989623751E-7</v>
      </c>
      <c r="M59" s="42">
        <f t="shared" si="34"/>
        <v>3.9504958445788744E-7</v>
      </c>
      <c r="N59" s="56">
        <f t="shared" si="34"/>
        <v>1.5364886028658923E-6</v>
      </c>
    </row>
    <row r="60" spans="1:14" x14ac:dyDescent="0.25">
      <c r="A60" s="35"/>
      <c r="B60" s="53" t="s">
        <v>80</v>
      </c>
      <c r="C60" s="42">
        <f t="shared" ref="C60:N60" si="35">C57*C58+C59</f>
        <v>0.56702907299239935</v>
      </c>
      <c r="D60" s="42">
        <f t="shared" si="35"/>
        <v>0.74065944208186729</v>
      </c>
      <c r="E60" s="42">
        <f t="shared" si="35"/>
        <v>0.79099798454787495</v>
      </c>
      <c r="F60" s="42">
        <f t="shared" si="35"/>
        <v>0.85284059832555659</v>
      </c>
      <c r="G60" s="42">
        <f t="shared" si="35"/>
        <v>0.92842314745817611</v>
      </c>
      <c r="H60" s="42">
        <f t="shared" si="35"/>
        <v>1.0203007061350922</v>
      </c>
      <c r="I60" s="42">
        <f t="shared" si="35"/>
        <v>1.2649315998873962</v>
      </c>
      <c r="J60" s="42">
        <f t="shared" si="35"/>
        <v>1.6146857405578798</v>
      </c>
      <c r="K60" s="42">
        <f t="shared" si="35"/>
        <v>1.1939489984133522</v>
      </c>
      <c r="L60" s="42">
        <f t="shared" si="35"/>
        <v>1.2073894491185329</v>
      </c>
      <c r="M60" s="42">
        <f t="shared" si="35"/>
        <v>1.2210756453369556</v>
      </c>
      <c r="N60" s="56">
        <f t="shared" si="35"/>
        <v>2.8239296911822303</v>
      </c>
    </row>
    <row r="61" spans="1:14" x14ac:dyDescent="0.25">
      <c r="A61" s="35"/>
      <c r="B61" s="53" t="s">
        <v>81</v>
      </c>
      <c r="C61" s="42">
        <f t="shared" ref="C61:N61" si="36">0.16*($C5/$C6-2.5)</f>
        <v>3.1120234649646861E-2</v>
      </c>
      <c r="D61" s="42">
        <f t="shared" si="36"/>
        <v>3.1120234649646861E-2</v>
      </c>
      <c r="E61" s="42">
        <f t="shared" si="36"/>
        <v>3.1120234649646861E-2</v>
      </c>
      <c r="F61" s="42">
        <f t="shared" si="36"/>
        <v>3.1120234649646861E-2</v>
      </c>
      <c r="G61" s="42">
        <f t="shared" si="36"/>
        <v>3.1120234649646861E-2</v>
      </c>
      <c r="H61" s="42">
        <f t="shared" si="36"/>
        <v>3.1120234649646861E-2</v>
      </c>
      <c r="I61" s="42">
        <f t="shared" si="36"/>
        <v>3.1120234649646861E-2</v>
      </c>
      <c r="J61" s="42">
        <f t="shared" si="36"/>
        <v>3.1120234649646861E-2</v>
      </c>
      <c r="K61" s="42">
        <f t="shared" si="36"/>
        <v>3.1120234649646861E-2</v>
      </c>
      <c r="L61" s="42">
        <f t="shared" si="36"/>
        <v>3.1120234649646861E-2</v>
      </c>
      <c r="M61" s="42">
        <f t="shared" si="36"/>
        <v>3.1120234649646861E-2</v>
      </c>
      <c r="N61" s="56">
        <f t="shared" si="36"/>
        <v>3.1120234649646861E-2</v>
      </c>
    </row>
    <row r="62" spans="1:14" x14ac:dyDescent="0.25">
      <c r="A62" s="35"/>
      <c r="B62" s="53" t="s">
        <v>82</v>
      </c>
      <c r="C62" s="42">
        <f t="shared" ref="C62:N62" si="37">($C15-$C14)/3*0.1</f>
        <v>0</v>
      </c>
      <c r="D62" s="42">
        <f t="shared" si="37"/>
        <v>0</v>
      </c>
      <c r="E62" s="42">
        <f t="shared" si="37"/>
        <v>0</v>
      </c>
      <c r="F62" s="42">
        <f t="shared" si="37"/>
        <v>0</v>
      </c>
      <c r="G62" s="42">
        <f t="shared" si="37"/>
        <v>0</v>
      </c>
      <c r="H62" s="42">
        <f t="shared" si="37"/>
        <v>0</v>
      </c>
      <c r="I62" s="42">
        <f t="shared" si="37"/>
        <v>0</v>
      </c>
      <c r="J62" s="42">
        <f t="shared" si="37"/>
        <v>0</v>
      </c>
      <c r="K62" s="42">
        <f t="shared" si="37"/>
        <v>0</v>
      </c>
      <c r="L62" s="42">
        <f t="shared" si="37"/>
        <v>0</v>
      </c>
      <c r="M62" s="42">
        <f t="shared" si="37"/>
        <v>0</v>
      </c>
      <c r="N62" s="56">
        <f t="shared" si="37"/>
        <v>0</v>
      </c>
    </row>
    <row r="63" spans="1:14" x14ac:dyDescent="0.25">
      <c r="A63" s="35"/>
      <c r="B63" s="53" t="s">
        <v>83</v>
      </c>
      <c r="C63" s="53">
        <f>0.1*C5/C4+0.149</f>
        <v>0.16643404365847386</v>
      </c>
      <c r="D63" s="53" t="s">
        <v>84</v>
      </c>
      <c r="E63" s="53">
        <f>0.625*C5/C4+0.08</f>
        <v>0.18896277286546165</v>
      </c>
      <c r="F63" s="53"/>
      <c r="G63" s="53"/>
      <c r="H63" s="53"/>
      <c r="I63" s="53"/>
      <c r="J63" s="53"/>
      <c r="K63" s="53"/>
      <c r="L63" s="53"/>
      <c r="M63" s="53"/>
      <c r="N63" s="58"/>
    </row>
    <row r="64" spans="1:14" x14ac:dyDescent="0.25">
      <c r="A64" s="35"/>
      <c r="B64" s="53" t="s">
        <v>85</v>
      </c>
      <c r="C64" s="53">
        <f>0.05*C5/C4+0.449</f>
        <v>0.45771702182923696</v>
      </c>
      <c r="D64" s="53" t="s">
        <v>86</v>
      </c>
      <c r="E64" s="53">
        <f>0.165-0.25*C5/C4</f>
        <v>0.12141489085381535</v>
      </c>
      <c r="F64" s="53"/>
      <c r="G64" s="53"/>
      <c r="H64" s="53"/>
      <c r="I64" s="53"/>
      <c r="J64" s="53"/>
      <c r="K64" s="53"/>
      <c r="L64" s="53"/>
      <c r="M64" s="53"/>
      <c r="N64" s="58"/>
    </row>
    <row r="65" spans="1:14" x14ac:dyDescent="0.25">
      <c r="A65" s="35"/>
      <c r="B65" s="53" t="s">
        <v>87</v>
      </c>
      <c r="C65" s="53">
        <f>585-5027*C5/C4+11700*(C5/C4)^2</f>
        <v>64.207302882638999</v>
      </c>
      <c r="D65" s="53" t="s">
        <v>88</v>
      </c>
      <c r="E65" s="53">
        <f>825-8060*C5/C4+20300*(C5/C4)^2</f>
        <v>36.826214046719201</v>
      </c>
      <c r="F65" s="53"/>
      <c r="G65" s="53"/>
      <c r="H65" s="53"/>
      <c r="I65" s="53"/>
      <c r="J65" s="53"/>
      <c r="K65" s="53"/>
      <c r="L65" s="53"/>
      <c r="M65" s="53"/>
      <c r="N65" s="58"/>
    </row>
    <row r="66" spans="1:14" x14ac:dyDescent="0.25">
      <c r="A66" s="35"/>
      <c r="B66" s="53" t="s">
        <v>89</v>
      </c>
      <c r="C66" s="42">
        <f>C63+C64/(C65*(0.98-C11)^3+1)</f>
        <v>0.47176057841555447</v>
      </c>
      <c r="D66" s="42" t="s">
        <v>90</v>
      </c>
      <c r="E66" s="42">
        <f>E63+E64/(E65*(0.98-C11)^3+1)</f>
        <v>0.28335625620592186</v>
      </c>
      <c r="F66" s="42"/>
      <c r="G66" s="42"/>
      <c r="H66" s="53"/>
      <c r="I66" s="53"/>
      <c r="J66" s="53"/>
      <c r="K66" s="53"/>
      <c r="L66" s="53"/>
      <c r="M66" s="53"/>
      <c r="N66" s="58"/>
    </row>
    <row r="67" spans="1:14" x14ac:dyDescent="0.25">
      <c r="A67" s="35"/>
      <c r="B67" s="53" t="s">
        <v>91</v>
      </c>
      <c r="C67" s="42">
        <f>0.025*C15/(100*(C11-0.7)^2+1)</f>
        <v>0</v>
      </c>
      <c r="D67" s="42" t="s">
        <v>92</v>
      </c>
      <c r="E67" s="42">
        <f>-0.01*C15</f>
        <v>0</v>
      </c>
      <c r="F67" s="42"/>
      <c r="G67" s="42"/>
      <c r="H67" s="53"/>
      <c r="I67" s="53"/>
      <c r="J67" s="53"/>
      <c r="K67" s="53"/>
      <c r="L67" s="53"/>
      <c r="M67" s="53"/>
      <c r="N67" s="58"/>
    </row>
    <row r="68" spans="1:14" x14ac:dyDescent="0.25">
      <c r="A68" s="35"/>
      <c r="B68" s="53" t="s">
        <v>93</v>
      </c>
      <c r="C68" s="42">
        <f>0.00756/(C18/C4+0.002)-0.18</f>
        <v>-1.6686165081056942E-2</v>
      </c>
      <c r="D68" s="42" t="s">
        <v>94</v>
      </c>
      <c r="E68" s="42">
        <f>2*(C18/C4-0.04)</f>
        <v>8.5824808872099062E-3</v>
      </c>
      <c r="F68" s="42"/>
      <c r="G68" s="42"/>
      <c r="H68" s="53"/>
      <c r="I68" s="53"/>
      <c r="J68" s="53"/>
      <c r="K68" s="53"/>
      <c r="L68" s="53"/>
      <c r="M68" s="53"/>
      <c r="N68" s="58"/>
    </row>
    <row r="69" spans="1:14" x14ac:dyDescent="0.25">
      <c r="A69" s="35"/>
      <c r="B69" s="53" t="s">
        <v>93</v>
      </c>
      <c r="C69" s="42">
        <f>MIN(0.1,C68)</f>
        <v>-1.6686165081056942E-2</v>
      </c>
      <c r="D69" s="42"/>
      <c r="E69" s="42"/>
      <c r="F69" s="42"/>
      <c r="G69" s="42"/>
      <c r="H69" s="53"/>
      <c r="I69" s="53"/>
      <c r="J69" s="53"/>
      <c r="K69" s="53"/>
      <c r="L69" s="53"/>
      <c r="M69" s="53"/>
      <c r="N69" s="58"/>
    </row>
    <row r="70" spans="1:14" x14ac:dyDescent="0.25">
      <c r="A70" s="35"/>
      <c r="B70" s="53" t="s">
        <v>95</v>
      </c>
      <c r="C70" s="76">
        <f>C66+C67+C69</f>
        <v>0.4550744133344975</v>
      </c>
      <c r="D70" s="42" t="s">
        <v>96</v>
      </c>
      <c r="E70" s="76">
        <f>E66+E67+E68</f>
        <v>0.29193873709313178</v>
      </c>
      <c r="F70" s="42" t="s">
        <v>97</v>
      </c>
      <c r="G70" s="76">
        <f>0.7*C11-0.2</f>
        <v>0.34733474102871281</v>
      </c>
      <c r="H70" s="53"/>
      <c r="I70" s="53"/>
      <c r="J70" s="53"/>
      <c r="K70" s="53"/>
      <c r="L70" s="53"/>
      <c r="M70" s="53"/>
      <c r="N70" s="58"/>
    </row>
    <row r="71" spans="1:14" x14ac:dyDescent="0.25">
      <c r="A71" s="35"/>
      <c r="B71" s="53" t="s">
        <v>98</v>
      </c>
      <c r="C71" s="76">
        <f>1.133*C11^2-0.797*C11+0.215</f>
        <v>0.2845118043042163</v>
      </c>
      <c r="D71" s="42" t="s">
        <v>99</v>
      </c>
      <c r="E71" s="76">
        <f>0.0665+0.62833*C71</f>
        <v>0.24526730199846825</v>
      </c>
      <c r="F71" s="42" t="s">
        <v>100</v>
      </c>
      <c r="G71" s="76">
        <f>0.2*C11+0.06</f>
        <v>0.21638135457963226</v>
      </c>
      <c r="H71" s="53"/>
      <c r="I71" s="53"/>
      <c r="J71" s="53"/>
      <c r="K71" s="53"/>
      <c r="L71" s="53"/>
      <c r="M71" s="53"/>
      <c r="N71" s="58"/>
    </row>
    <row r="72" spans="1:14" x14ac:dyDescent="0.25">
      <c r="A72" s="22" t="s">
        <v>101</v>
      </c>
      <c r="B72" s="53" t="s">
        <v>102</v>
      </c>
      <c r="C72" s="53">
        <f t="shared" ref="C72:N72" si="38">IF(C22&gt;$J9,0,IF($C17=1,0.2,0.1))</f>
        <v>0.2</v>
      </c>
      <c r="D72" s="53">
        <f t="shared" si="38"/>
        <v>0.2</v>
      </c>
      <c r="E72" s="53">
        <f t="shared" si="38"/>
        <v>0.2</v>
      </c>
      <c r="F72" s="53">
        <f t="shared" si="38"/>
        <v>0.2</v>
      </c>
      <c r="G72" s="53">
        <f t="shared" si="38"/>
        <v>0.2</v>
      </c>
      <c r="H72" s="53">
        <f t="shared" si="38"/>
        <v>0.2</v>
      </c>
      <c r="I72" s="53">
        <f t="shared" si="38"/>
        <v>0.2</v>
      </c>
      <c r="J72" s="53">
        <f t="shared" si="38"/>
        <v>0.2</v>
      </c>
      <c r="K72" s="53">
        <f t="shared" si="38"/>
        <v>0.2</v>
      </c>
      <c r="L72" s="53">
        <f t="shared" si="38"/>
        <v>0.2</v>
      </c>
      <c r="M72" s="53">
        <f t="shared" si="38"/>
        <v>0.2</v>
      </c>
      <c r="N72" s="53">
        <f t="shared" si="38"/>
        <v>0.2</v>
      </c>
    </row>
    <row r="73" spans="1:14" x14ac:dyDescent="0.25">
      <c r="A73" s="22"/>
      <c r="B73" s="59" t="s">
        <v>123</v>
      </c>
      <c r="C73" s="67">
        <f t="shared" ref="C73:N73" si="39">C22</f>
        <v>0.12</v>
      </c>
      <c r="D73" s="67">
        <f t="shared" si="39"/>
        <v>0.200555877516121</v>
      </c>
      <c r="E73" s="67">
        <f t="shared" si="39"/>
        <v>0.21041363441822353</v>
      </c>
      <c r="F73" s="67">
        <f t="shared" si="39"/>
        <v>0.22027139132032608</v>
      </c>
      <c r="G73" s="67">
        <f t="shared" si="39"/>
        <v>0.23012914822242861</v>
      </c>
      <c r="H73" s="67">
        <f t="shared" si="39"/>
        <v>0.23998690512453114</v>
      </c>
      <c r="I73" s="67">
        <f t="shared" si="39"/>
        <v>0.25970241892873619</v>
      </c>
      <c r="J73" s="67">
        <f t="shared" si="39"/>
        <v>0.27941793273294124</v>
      </c>
      <c r="K73" s="67">
        <f t="shared" si="39"/>
        <v>0.25468669016013873</v>
      </c>
      <c r="L73" s="67">
        <f t="shared" si="39"/>
        <v>0.25567246585034897</v>
      </c>
      <c r="M73" s="67">
        <f t="shared" si="39"/>
        <v>0.25665824154055922</v>
      </c>
      <c r="N73" s="67">
        <f t="shared" si="39"/>
        <v>0.32</v>
      </c>
    </row>
    <row r="74" spans="1:14" x14ac:dyDescent="0.25">
      <c r="A74" s="22"/>
      <c r="B74" s="59" t="s">
        <v>103</v>
      </c>
      <c r="C74" s="49">
        <f t="shared" ref="C74:N74" si="40">C22^2</f>
        <v>1.44E-2</v>
      </c>
      <c r="D74" s="49">
        <f t="shared" si="40"/>
        <v>4.0222660006261332E-2</v>
      </c>
      <c r="E74" s="49">
        <f t="shared" si="40"/>
        <v>4.4273897549085818E-2</v>
      </c>
      <c r="F74" s="49">
        <f t="shared" si="40"/>
        <v>4.8519485834192223E-2</v>
      </c>
      <c r="G74" s="49">
        <f t="shared" si="40"/>
        <v>5.2959424861580513E-2</v>
      </c>
      <c r="H74" s="49">
        <f t="shared" si="40"/>
        <v>5.7593714631250709E-2</v>
      </c>
      <c r="I74" s="49">
        <f t="shared" si="40"/>
        <v>6.7445346397436795E-2</v>
      </c>
      <c r="J74" s="49">
        <f t="shared" si="40"/>
        <v>7.8074381132750476E-2</v>
      </c>
      <c r="K74" s="49">
        <f t="shared" si="40"/>
        <v>6.4865310144726504E-2</v>
      </c>
      <c r="L74" s="49">
        <f t="shared" si="40"/>
        <v>6.5368409793997856E-2</v>
      </c>
      <c r="M74" s="49">
        <f t="shared" si="40"/>
        <v>6.5873452950692038E-2</v>
      </c>
      <c r="N74" s="49">
        <f t="shared" si="40"/>
        <v>0.1024</v>
      </c>
    </row>
    <row r="75" spans="1:14" x14ac:dyDescent="0.25">
      <c r="A75" s="22"/>
      <c r="B75" s="59" t="s">
        <v>104</v>
      </c>
      <c r="C75" s="49">
        <f t="shared" ref="C75:N75" si="41">C22^3</f>
        <v>1.7279999999999999E-3</v>
      </c>
      <c r="D75" s="49">
        <f t="shared" si="41"/>
        <v>8.0668908735883268E-3</v>
      </c>
      <c r="E75" s="49">
        <f t="shared" si="41"/>
        <v>9.3158316931632266E-3</v>
      </c>
      <c r="F75" s="49">
        <f t="shared" si="41"/>
        <v>1.0687454650844374E-2</v>
      </c>
      <c r="G75" s="49">
        <f t="shared" si="41"/>
        <v>1.2187507333745233E-2</v>
      </c>
      <c r="H75" s="49">
        <f t="shared" si="41"/>
        <v>1.3821737328979285E-2</v>
      </c>
      <c r="I75" s="49">
        <f t="shared" si="41"/>
        <v>1.7515719604900858E-2</v>
      </c>
      <c r="J75" s="49">
        <f t="shared" si="41"/>
        <v>2.181538217551689E-2</v>
      </c>
      <c r="K75" s="49">
        <f t="shared" si="41"/>
        <v>1.6520331146971264E-2</v>
      </c>
      <c r="L75" s="49">
        <f t="shared" si="41"/>
        <v>1.6712902520747534E-2</v>
      </c>
      <c r="M75" s="49">
        <f t="shared" si="41"/>
        <v>1.6906964598529379E-2</v>
      </c>
      <c r="N75" s="49">
        <f t="shared" si="41"/>
        <v>3.2768000000000005E-2</v>
      </c>
    </row>
    <row r="76" spans="1:14" x14ac:dyDescent="0.25">
      <c r="A76" s="22"/>
      <c r="B76" s="59" t="s">
        <v>105</v>
      </c>
      <c r="C76" s="49">
        <f t="shared" ref="C76:N76" si="42">C22^4</f>
        <v>2.0735999999999999E-4</v>
      </c>
      <c r="D76" s="49">
        <f t="shared" si="42"/>
        <v>1.6178623779792949E-3</v>
      </c>
      <c r="E76" s="49">
        <f t="shared" si="42"/>
        <v>1.9601780041869472E-3</v>
      </c>
      <c r="F76" s="49">
        <f t="shared" si="42"/>
        <v>2.35414050561438E-3</v>
      </c>
      <c r="G76" s="49">
        <f t="shared" si="42"/>
        <v>2.8047006816693922E-3</v>
      </c>
      <c r="H76" s="49">
        <f t="shared" si="42"/>
        <v>3.3170359650259418E-3</v>
      </c>
      <c r="I76" s="49">
        <f t="shared" si="42"/>
        <v>4.5488747506702409E-3</v>
      </c>
      <c r="J76" s="49">
        <f t="shared" si="42"/>
        <v>6.0956089892619837E-3</v>
      </c>
      <c r="K76" s="49">
        <f t="shared" si="42"/>
        <v>4.2075084601715593E-3</v>
      </c>
      <c r="L76" s="49">
        <f t="shared" si="42"/>
        <v>4.2730289989960351E-3</v>
      </c>
      <c r="M76" s="49">
        <f t="shared" si="42"/>
        <v>4.3393118036470371E-3</v>
      </c>
      <c r="N76" s="49">
        <f t="shared" si="42"/>
        <v>1.048576E-2</v>
      </c>
    </row>
    <row r="77" spans="1:14" x14ac:dyDescent="0.25">
      <c r="A77" s="22"/>
      <c r="B77" s="59" t="s">
        <v>106</v>
      </c>
      <c r="C77" s="49">
        <f t="shared" ref="C77:N77" si="43">C22^5</f>
        <v>2.4883199999999999E-5</v>
      </c>
      <c r="D77" s="49">
        <f t="shared" si="43"/>
        <v>3.2447180891595571E-4</v>
      </c>
      <c r="E77" s="49">
        <f t="shared" si="43"/>
        <v>4.124481779676353E-4</v>
      </c>
      <c r="F77" s="49">
        <f t="shared" si="43"/>
        <v>5.1854980453521545E-4</v>
      </c>
      <c r="G77" s="49">
        <f t="shared" si="43"/>
        <v>6.4544337889144209E-4</v>
      </c>
      <c r="H77" s="49">
        <f t="shared" si="43"/>
        <v>7.9604519543333824E-4</v>
      </c>
      <c r="I77" s="49">
        <f t="shared" si="43"/>
        <v>1.1813537761529132E-3</v>
      </c>
      <c r="J77" s="49">
        <f t="shared" si="43"/>
        <v>1.7032224625279169E-3</v>
      </c>
      <c r="K77" s="49">
        <f t="shared" si="43"/>
        <v>1.0715964035418763E-3</v>
      </c>
      <c r="L77" s="49">
        <f t="shared" si="43"/>
        <v>1.0924958608233646E-3</v>
      </c>
      <c r="M77" s="49">
        <f t="shared" si="43"/>
        <v>1.113720137020241E-3</v>
      </c>
      <c r="N77" s="49">
        <f t="shared" si="43"/>
        <v>3.3554432000000001E-3</v>
      </c>
    </row>
    <row r="78" spans="1:14" x14ac:dyDescent="0.25">
      <c r="A78" s="176"/>
      <c r="B78" s="177" t="s">
        <v>258</v>
      </c>
      <c r="C78" s="178">
        <f>C22^6</f>
        <v>2.9859839999999999E-6</v>
      </c>
      <c r="D78" s="178">
        <f t="shared" ref="D78:N78" si="44">D22^6</f>
        <v>6.5074728366382636E-5</v>
      </c>
      <c r="E78" s="178">
        <f t="shared" si="44"/>
        <v>8.678472013534441E-5</v>
      </c>
      <c r="F78" s="178">
        <f t="shared" si="44"/>
        <v>1.1422168691385502E-4</v>
      </c>
      <c r="G78" s="178">
        <f t="shared" si="44"/>
        <v>1.4853533501009382E-4</v>
      </c>
      <c r="H78" s="178">
        <f t="shared" si="44"/>
        <v>1.9104042279129941E-4</v>
      </c>
      <c r="I78" s="178">
        <f t="shared" si="44"/>
        <v>3.068004332775083E-4</v>
      </c>
      <c r="J78" s="178">
        <f t="shared" si="44"/>
        <v>4.7591089946386002E-4</v>
      </c>
      <c r="K78" s="178">
        <f t="shared" si="44"/>
        <v>2.7292134120558882E-4</v>
      </c>
      <c r="L78" s="178">
        <f t="shared" si="44"/>
        <v>2.7932111066800928E-4</v>
      </c>
      <c r="M78" s="178">
        <f t="shared" si="44"/>
        <v>2.8584545193592571E-4</v>
      </c>
      <c r="N78" s="178">
        <f t="shared" si="44"/>
        <v>1.073741824E-3</v>
      </c>
    </row>
    <row r="79" spans="1:14" x14ac:dyDescent="0.25">
      <c r="A79" s="75" t="s">
        <v>228</v>
      </c>
      <c r="B79" s="161" t="s">
        <v>210</v>
      </c>
      <c r="C79" s="162">
        <f xml:space="preserve"> 81963.95967*C77 - 69372.12684*C76 + 23700.28578*C75 - 4016.65661*C74 + 339.10948*C73 - 10.91</f>
        <v>0.55189762355814054</v>
      </c>
      <c r="D79" s="162">
        <f xml:space="preserve"> 81963.95967*D77 - 69372.12684*D76 + 23700.28578*D75 - 4016.65661*D74 + 339.10948*D73 - 10.91</f>
        <v>1.087845374816137</v>
      </c>
      <c r="E79" s="162">
        <f t="shared" ref="E79:N79" si="45" xml:space="preserve"> 81963.95967*E77 - 69372.12684*E76 + 23700.28578*E75 - 4016.65661*E74 + 339.10948*E73 - 10.91</f>
        <v>1.2222570072945409</v>
      </c>
      <c r="F79" s="162">
        <f t="shared" si="45"/>
        <v>1.3863944767527805</v>
      </c>
      <c r="G79" s="162">
        <f t="shared" si="45"/>
        <v>1.5916022498159741</v>
      </c>
      <c r="H79" s="162">
        <f t="shared" si="45"/>
        <v>1.8539613037990925</v>
      </c>
      <c r="I79" s="162">
        <f t="shared" si="45"/>
        <v>2.6436331769910133</v>
      </c>
      <c r="J79" s="162">
        <f t="shared" si="45"/>
        <v>4.0135800404393187</v>
      </c>
      <c r="K79" s="162">
        <f t="shared" si="45"/>
        <v>2.4000374970930629</v>
      </c>
      <c r="L79" s="162">
        <f t="shared" si="45"/>
        <v>2.4452445823952864</v>
      </c>
      <c r="M79" s="162">
        <f t="shared" si="45"/>
        <v>2.4917188195839337</v>
      </c>
      <c r="N79" s="162">
        <f t="shared" si="45"/>
        <v>10.516299561017544</v>
      </c>
    </row>
    <row r="80" spans="1:14" x14ac:dyDescent="0.25">
      <c r="A80" s="75" t="s">
        <v>229</v>
      </c>
      <c r="B80" s="161" t="s">
        <v>107</v>
      </c>
      <c r="C80" s="162">
        <f t="shared" ref="C80:N80" si="46" xml:space="preserve"> 211855.99746*C77 - 178462.85551*C76 + 59866.35075*C75 - 9901.7271*C74 + 808.21686*C73 - 25.47</f>
        <v>0.64580449344308022</v>
      </c>
      <c r="D80" s="162">
        <f t="shared" si="46"/>
        <v>1.2971163919089577</v>
      </c>
      <c r="E80" s="162">
        <f t="shared" si="46"/>
        <v>1.4672996059516947</v>
      </c>
      <c r="F80" s="162">
        <f t="shared" si="46"/>
        <v>1.6805023992246504</v>
      </c>
      <c r="G80" s="162">
        <f t="shared" si="46"/>
        <v>1.9622323661057521</v>
      </c>
      <c r="H80" s="162">
        <f t="shared" si="46"/>
        <v>2.3504316118592783</v>
      </c>
      <c r="I80" s="162">
        <f t="shared" si="46"/>
        <v>3.6743781123092276</v>
      </c>
      <c r="J80" s="162">
        <f t="shared" si="46"/>
        <v>6.2944972070279732</v>
      </c>
      <c r="K80" s="162">
        <f t="shared" si="46"/>
        <v>3.2455672080217823</v>
      </c>
      <c r="L80" s="162">
        <f t="shared" si="46"/>
        <v>3.3239706323090275</v>
      </c>
      <c r="M80" s="162">
        <f t="shared" si="46"/>
        <v>3.4051516845951539</v>
      </c>
      <c r="N80" s="162">
        <f t="shared" si="46"/>
        <v>20.475215799836889</v>
      </c>
    </row>
    <row r="81" spans="1:14" x14ac:dyDescent="0.25">
      <c r="A81" s="75" t="s">
        <v>230</v>
      </c>
      <c r="B81" s="161" t="s">
        <v>108</v>
      </c>
      <c r="C81" s="162">
        <f t="shared" ref="C81:N81" si="47" xml:space="preserve"> 189330.79305*C77 - 133987.07846*C76 + 36767.07838*C75 - 4746.53331*C74 + 281.6148*C73 - 5.18</f>
        <v>0.72480317679617201</v>
      </c>
      <c r="D81" s="162">
        <f t="shared" si="47"/>
        <v>1.6371683597634004</v>
      </c>
      <c r="E81" s="162">
        <f t="shared" si="47"/>
        <v>1.8945947151956446</v>
      </c>
      <c r="F81" s="162">
        <f t="shared" si="47"/>
        <v>2.2518480435762882</v>
      </c>
      <c r="G81" s="162">
        <f t="shared" si="47"/>
        <v>2.7617937662673953</v>
      </c>
      <c r="H81" s="162">
        <f t="shared" si="47"/>
        <v>3.4941891222147134</v>
      </c>
      <c r="I81" s="162">
        <f t="shared" si="47"/>
        <v>6.0025062705793104</v>
      </c>
      <c r="J81" s="162">
        <f t="shared" si="47"/>
        <v>10.753060540907192</v>
      </c>
      <c r="K81" s="162">
        <f t="shared" si="47"/>
        <v>5.1969269289227853</v>
      </c>
      <c r="L81" s="162">
        <f t="shared" si="47"/>
        <v>5.3448487478289834</v>
      </c>
      <c r="M81" s="162">
        <f t="shared" si="47"/>
        <v>5.4977189267708368</v>
      </c>
      <c r="N81" s="162">
        <f t="shared" si="47"/>
        <v>34.007723669340471</v>
      </c>
    </row>
    <row r="82" spans="1:14" x14ac:dyDescent="0.25">
      <c r="A82" s="75" t="s">
        <v>231</v>
      </c>
      <c r="B82" s="161" t="s">
        <v>109</v>
      </c>
      <c r="C82" s="162">
        <f t="shared" ref="C82:N82" si="48" xml:space="preserve"> -183277.76453*C77 + 217604.57034*C76 - 91711.5592*C75 + 18157.61937*C74 - 1715.03079*C73 + 63.08</f>
        <v>0.83039626574954184</v>
      </c>
      <c r="D82" s="162">
        <f t="shared" si="48"/>
        <v>2.2268853122767069</v>
      </c>
      <c r="E82" s="162">
        <f t="shared" si="48"/>
        <v>2.7043805834831716</v>
      </c>
      <c r="F82" s="162">
        <f t="shared" si="48"/>
        <v>3.3760918981669903</v>
      </c>
      <c r="G82" s="162">
        <f t="shared" si="48"/>
        <v>4.303470626604863</v>
      </c>
      <c r="H82" s="162">
        <f t="shared" si="48"/>
        <v>5.5515376876649754</v>
      </c>
      <c r="I82" s="162">
        <f t="shared" si="48"/>
        <v>9.275384424423649</v>
      </c>
      <c r="J82" s="162">
        <f t="shared" si="48"/>
        <v>15.061393020704841</v>
      </c>
      <c r="K82" s="162">
        <f t="shared" si="48"/>
        <v>8.152045866060817</v>
      </c>
      <c r="L82" s="162">
        <f t="shared" si="48"/>
        <v>8.3626440845626604</v>
      </c>
      <c r="M82" s="162">
        <f t="shared" si="48"/>
        <v>8.5781574254110211</v>
      </c>
      <c r="N82" s="162">
        <f t="shared" si="48"/>
        <v>35.17716960736864</v>
      </c>
    </row>
    <row r="83" spans="1:14" x14ac:dyDescent="0.25">
      <c r="A83" s="75" t="s">
        <v>232</v>
      </c>
      <c r="B83" s="161" t="s">
        <v>211</v>
      </c>
      <c r="C83" s="162">
        <f xml:space="preserve"> 108656.82305*C77 - 92884.66951*C76 + 31771.52118*C75 - 5373.60627*C74 + 450.34486*C73 - 14.5</f>
        <v>0.50580590076415888</v>
      </c>
      <c r="D83" s="162">
        <f xml:space="preserve"> 108656.82305*D77 - 92884.66951*D76 + 31771.52118*D75 - 5373.60627*D74 + 450.34486*D73 - 14.5</f>
        <v>0.95742845823563982</v>
      </c>
      <c r="E83" s="162">
        <f t="shared" ref="E83:N83" si="49" xml:space="preserve"> 108656.82305*E77 - 92884.66951*E76 + 31771.52118*E75 - 5373.60627*E74 + 450.34486*E73 - 14.5</f>
        <v>1.0711718067598213</v>
      </c>
      <c r="F83" s="162">
        <f t="shared" si="49"/>
        <v>1.2105788998564577</v>
      </c>
      <c r="G83" s="162">
        <f t="shared" si="49"/>
        <v>1.3881600495262205</v>
      </c>
      <c r="H83" s="162">
        <f t="shared" si="49"/>
        <v>1.6224960029069848</v>
      </c>
      <c r="I83" s="162">
        <f t="shared" si="49"/>
        <v>2.3733899770909801</v>
      </c>
      <c r="J83" s="162">
        <f t="shared" si="49"/>
        <v>3.7794379519140904</v>
      </c>
      <c r="K83" s="162">
        <f t="shared" si="49"/>
        <v>2.1354834785470587</v>
      </c>
      <c r="L83" s="162">
        <f t="shared" si="49"/>
        <v>2.1792635814284438</v>
      </c>
      <c r="M83" s="162">
        <f t="shared" si="49"/>
        <v>2.2244529565598157</v>
      </c>
      <c r="N83" s="162">
        <f t="shared" si="49"/>
        <v>11.067725053788109</v>
      </c>
    </row>
    <row r="84" spans="1:14" x14ac:dyDescent="0.25">
      <c r="A84" s="75" t="s">
        <v>233</v>
      </c>
      <c r="B84" s="161" t="s">
        <v>110</v>
      </c>
      <c r="C84" s="162">
        <f t="shared" ref="C84:N84" si="50" xml:space="preserve"> 236068.11145*C77 - 206198.08468*C76 + 71647.62804*C75 - 12274.26804*C74 + 1036.91016*C73 - 34.06</f>
        <v>0.54375586870779102</v>
      </c>
      <c r="D84" s="162">
        <f t="shared" si="50"/>
        <v>1.1656371300628621</v>
      </c>
      <c r="E84" s="162">
        <f t="shared" si="50"/>
        <v>1.3285060214050475</v>
      </c>
      <c r="F84" s="162">
        <f t="shared" si="50"/>
        <v>1.5250545676922229</v>
      </c>
      <c r="G84" s="162">
        <f t="shared" si="50"/>
        <v>1.7757589335439832</v>
      </c>
      <c r="H84" s="162">
        <f t="shared" si="50"/>
        <v>2.1132875124019961</v>
      </c>
      <c r="I84" s="162">
        <f t="shared" si="50"/>
        <v>3.2562739891955061</v>
      </c>
      <c r="J84" s="162">
        <f t="shared" si="50"/>
        <v>5.5594114825370866</v>
      </c>
      <c r="K84" s="162">
        <f t="shared" si="50"/>
        <v>2.8851080040103056</v>
      </c>
      <c r="L84" s="162">
        <f t="shared" si="50"/>
        <v>2.9528568441201628</v>
      </c>
      <c r="M84" s="162">
        <f t="shared" si="50"/>
        <v>3.0230575937658841</v>
      </c>
      <c r="N84" s="162">
        <f t="shared" si="50"/>
        <v>18.585190406308016</v>
      </c>
    </row>
    <row r="85" spans="1:14" x14ac:dyDescent="0.25">
      <c r="A85" s="75" t="s">
        <v>234</v>
      </c>
      <c r="B85" s="161" t="s">
        <v>111</v>
      </c>
      <c r="C85" s="162">
        <f t="shared" ref="C85:N85" si="51" xml:space="preserve"> 153905.69184*C77 - 114943.493048*C76 + 33802.921153*C75 - 4780.049092*C74 + 322.837994*C73 - 7.67</f>
        <v>0.64428350034379811</v>
      </c>
      <c r="D85" s="162">
        <f t="shared" si="51"/>
        <v>1.4705491291241106</v>
      </c>
      <c r="E85" s="162">
        <f t="shared" si="51"/>
        <v>1.6988514467864793</v>
      </c>
      <c r="F85" s="162">
        <f t="shared" si="51"/>
        <v>1.9982703715486299</v>
      </c>
      <c r="G85" s="162">
        <f t="shared" si="51"/>
        <v>2.4044477714647758</v>
      </c>
      <c r="H85" s="162">
        <f t="shared" si="51"/>
        <v>2.9653909907691247</v>
      </c>
      <c r="I85" s="162">
        <f t="shared" si="51"/>
        <v>4.8157468464505957</v>
      </c>
      <c r="J85" s="162">
        <f t="shared" si="51"/>
        <v>8.2460358228493238</v>
      </c>
      <c r="K85" s="162">
        <f t="shared" si="51"/>
        <v>4.2276908919576801</v>
      </c>
      <c r="L85" s="162">
        <f t="shared" si="51"/>
        <v>4.3359565138337519</v>
      </c>
      <c r="M85" s="162">
        <f t="shared" si="51"/>
        <v>4.4476962079445901</v>
      </c>
      <c r="N85" s="162">
        <f t="shared" si="51"/>
        <v>24.967176863531179</v>
      </c>
    </row>
    <row r="86" spans="1:14" x14ac:dyDescent="0.25">
      <c r="A86" s="75" t="s">
        <v>235</v>
      </c>
      <c r="B86" s="161" t="s">
        <v>112</v>
      </c>
      <c r="C86" s="162">
        <f t="shared" ref="C86:N86" si="52">-9980220.15991*C78 + 10826099.46985*C77 - 4792166.95182*C76 + 1110018.19846*C75 - 141933.11234*C74 + 9505.46225*C73 - 260.06</f>
        <v>0.75358072768784723</v>
      </c>
      <c r="D86" s="162">
        <f t="shared" si="52"/>
        <v>2.0220183348944261</v>
      </c>
      <c r="E86" s="162">
        <f t="shared" si="52"/>
        <v>2.4036335052211939</v>
      </c>
      <c r="F86" s="162">
        <f t="shared" si="52"/>
        <v>2.9487696069926983</v>
      </c>
      <c r="G86" s="162">
        <f t="shared" si="52"/>
        <v>3.7078276993988197</v>
      </c>
      <c r="H86" s="162">
        <f t="shared" si="52"/>
        <v>4.7001275836386753</v>
      </c>
      <c r="I86" s="162">
        <f t="shared" si="52"/>
        <v>7.1215052043993978</v>
      </c>
      <c r="J86" s="162">
        <f t="shared" si="52"/>
        <v>8.4522204608001061</v>
      </c>
      <c r="K86" s="162">
        <f t="shared" si="52"/>
        <v>6.4987772488843234</v>
      </c>
      <c r="L86" s="162">
        <f t="shared" si="52"/>
        <v>6.6233955825595672</v>
      </c>
      <c r="M86" s="162">
        <f t="shared" si="52"/>
        <v>6.7472371742905466</v>
      </c>
      <c r="N86" s="162">
        <f t="shared" si="52"/>
        <v>-18.516942986341803</v>
      </c>
    </row>
    <row r="87" spans="1:14" x14ac:dyDescent="0.25">
      <c r="A87" s="75" t="s">
        <v>236</v>
      </c>
      <c r="B87" s="161" t="s">
        <v>212</v>
      </c>
      <c r="C87" s="162">
        <f xml:space="preserve"> 12205.28697*C77 - 8294.72385*C76 + 2539.32664*C75 - 405.17899*C74 + 34.1222*C73 - 0.78</f>
        <v>0.45175563711590416</v>
      </c>
      <c r="D87" s="162">
        <f t="shared" ref="D87:N87" si="53" xml:space="preserve"> 12205.28697*D77 - 8294.72385*D76 + 2539.32664*D75 - 405.17899*D74 + 34.1222*D73 - 0.78</f>
        <v>0.7910517934576069</v>
      </c>
      <c r="E87" s="162">
        <f t="shared" si="53"/>
        <v>0.89177574702287843</v>
      </c>
      <c r="F87" s="162">
        <f t="shared" si="53"/>
        <v>1.0181102863931939</v>
      </c>
      <c r="G87" s="162">
        <f t="shared" si="53"/>
        <v>1.1761326187560395</v>
      </c>
      <c r="H87" s="162">
        <f t="shared" si="53"/>
        <v>1.3730865809066171</v>
      </c>
      <c r="I87" s="162">
        <f t="shared" si="53"/>
        <v>1.9194159231437713</v>
      </c>
      <c r="J87" s="162">
        <f t="shared" si="53"/>
        <v>2.7435624775257983</v>
      </c>
      <c r="K87" s="162">
        <f t="shared" si="53"/>
        <v>1.7579471592178486</v>
      </c>
      <c r="L87" s="162">
        <f t="shared" si="53"/>
        <v>1.7883493038302902</v>
      </c>
      <c r="M87" s="162">
        <f t="shared" si="53"/>
        <v>1.8193910880060724</v>
      </c>
      <c r="N87" s="162">
        <f t="shared" si="53"/>
        <v>5.8350943736791239</v>
      </c>
    </row>
    <row r="88" spans="1:14" x14ac:dyDescent="0.25">
      <c r="A88" s="75" t="s">
        <v>237</v>
      </c>
      <c r="B88" s="161" t="s">
        <v>113</v>
      </c>
      <c r="C88" s="162">
        <f t="shared" ref="C88:N88" si="54" xml:space="preserve"> 78193.22061*C77 - 62747.6239*C76 + 20041.29771*C75 - 3113.11297*C74 + 235.21739*C73 - 6.47</f>
        <v>0.49297273005874853</v>
      </c>
      <c r="D88" s="162">
        <f t="shared" si="54"/>
        <v>1.0119828176615036</v>
      </c>
      <c r="E88" s="162">
        <f t="shared" si="54"/>
        <v>1.1487967809367055</v>
      </c>
      <c r="F88" s="162">
        <f t="shared" si="54"/>
        <v>1.315837738824384</v>
      </c>
      <c r="G88" s="162">
        <f t="shared" si="54"/>
        <v>1.5261609973303001</v>
      </c>
      <c r="H88" s="162">
        <f t="shared" si="54"/>
        <v>1.7981185138667461</v>
      </c>
      <c r="I88" s="162">
        <f t="shared" si="54"/>
        <v>2.6320681417210769</v>
      </c>
      <c r="J88" s="162">
        <f t="shared" si="54"/>
        <v>4.1036266251934128</v>
      </c>
      <c r="K88" s="162">
        <f t="shared" si="54"/>
        <v>2.3729905689421136</v>
      </c>
      <c r="L88" s="162">
        <f t="shared" si="54"/>
        <v>2.4209740888007607</v>
      </c>
      <c r="M88" s="162">
        <f t="shared" si="54"/>
        <v>2.4703511609818198</v>
      </c>
      <c r="N88" s="162">
        <f t="shared" si="54"/>
        <v>11.146425629540445</v>
      </c>
    </row>
    <row r="89" spans="1:14" x14ac:dyDescent="0.25">
      <c r="A89" s="75" t="s">
        <v>238</v>
      </c>
      <c r="B89" s="161" t="s">
        <v>114</v>
      </c>
      <c r="C89" s="162">
        <f t="shared" ref="C89:N89" si="55" xml:space="preserve"> 112229.10217*C77 - 90275.82325*C76 + 29064.78003*C75 - 4576.65461*C74 + 352.54132*C73 - 10.15</f>
        <v>0.54809639383654307</v>
      </c>
      <c r="D89" s="162">
        <f t="shared" si="55"/>
        <v>1.2927419328623753</v>
      </c>
      <c r="E89" s="162">
        <f t="shared" si="55"/>
        <v>1.4977677218398124</v>
      </c>
      <c r="F89" s="162">
        <f t="shared" si="55"/>
        <v>1.7507638467177795</v>
      </c>
      <c r="G89" s="162">
        <f t="shared" si="55"/>
        <v>2.0711254254436877</v>
      </c>
      <c r="H89" s="162">
        <f t="shared" si="55"/>
        <v>2.4858009180522824</v>
      </c>
      <c r="I89" s="162">
        <f t="shared" si="55"/>
        <v>3.7511761119417084</v>
      </c>
      <c r="J89" s="162">
        <f t="shared" si="55"/>
        <v>5.9611827545826994</v>
      </c>
      <c r="K89" s="162">
        <f t="shared" si="55"/>
        <v>3.3592642267998993</v>
      </c>
      <c r="L89" s="162">
        <f t="shared" si="55"/>
        <v>3.4319289239840511</v>
      </c>
      <c r="M89" s="162">
        <f t="shared" si="55"/>
        <v>3.5066658031908329</v>
      </c>
      <c r="N89" s="162">
        <f t="shared" si="55"/>
        <v>16.376263675551918</v>
      </c>
    </row>
    <row r="90" spans="1:14" x14ac:dyDescent="0.25">
      <c r="A90" s="75" t="s">
        <v>239</v>
      </c>
      <c r="B90" s="161" t="s">
        <v>115</v>
      </c>
      <c r="C90" s="162">
        <f t="shared" ref="C90:N90" si="56" xml:space="preserve"> -6333849.33191*C78 + 7003086.05505*C77 - 3170231.50477*C76 + 753388.16765*C75 - 99065.81153*C74 + 6833.52117*C73 - 192.64</f>
        <v>0.65682139961882058</v>
      </c>
      <c r="D90" s="162">
        <f t="shared" si="56"/>
        <v>1.8047076804729159</v>
      </c>
      <c r="E90" s="162">
        <f t="shared" si="56"/>
        <v>2.1444824813846708</v>
      </c>
      <c r="F90" s="162">
        <f t="shared" si="56"/>
        <v>2.5844048789548424</v>
      </c>
      <c r="G90" s="162">
        <f t="shared" si="56"/>
        <v>3.1524536708576534</v>
      </c>
      <c r="H90" s="162">
        <f t="shared" si="56"/>
        <v>3.8607120223729225</v>
      </c>
      <c r="I90" s="162">
        <f t="shared" si="56"/>
        <v>5.5582917582315758</v>
      </c>
      <c r="J90" s="162">
        <f t="shared" si="56"/>
        <v>6.6911206286437164</v>
      </c>
      <c r="K90" s="162">
        <f t="shared" si="56"/>
        <v>5.1176096866255421</v>
      </c>
      <c r="L90" s="162">
        <f t="shared" si="56"/>
        <v>5.2051940514860462</v>
      </c>
      <c r="M90" s="162">
        <f t="shared" si="56"/>
        <v>5.2924786670497497</v>
      </c>
      <c r="N90" s="162">
        <f t="shared" si="56"/>
        <v>-7.9770043277518425</v>
      </c>
    </row>
    <row r="91" spans="1:14" x14ac:dyDescent="0.25">
      <c r="A91" s="75" t="s">
        <v>240</v>
      </c>
      <c r="B91" s="161" t="s">
        <v>213</v>
      </c>
      <c r="C91" s="162">
        <f xml:space="preserve"> 53881.87664*C77 - 47719.69516*C76 + 17198.62503*C75 - 3090.1397*C74 + 275.82793*C73 - 9.37</f>
        <v>0.39616149627084063</v>
      </c>
      <c r="D91" s="162">
        <f t="shared" ref="D91:N91" si="57" xml:space="preserve"> 53881.87664*D77 - 47719.69516*D76 + 17198.62503*D75 - 3090.1397*D74 + 275.82793*D73 - 9.37</f>
        <v>0.67395580559207069</v>
      </c>
      <c r="E91" s="162">
        <f t="shared" si="57"/>
        <v>0.7593098950034527</v>
      </c>
      <c r="F91" s="162">
        <f t="shared" si="57"/>
        <v>0.86610687921854712</v>
      </c>
      <c r="G91" s="162">
        <f t="shared" si="57"/>
        <v>1.0006329916038847</v>
      </c>
      <c r="H91" s="162">
        <f t="shared" si="57"/>
        <v>1.1718087337850331</v>
      </c>
      <c r="I91" s="162">
        <f t="shared" si="57"/>
        <v>1.6765737733087942</v>
      </c>
      <c r="J91" s="162">
        <f t="shared" si="57"/>
        <v>2.5273230564924685</v>
      </c>
      <c r="K91" s="162">
        <f t="shared" si="57"/>
        <v>1.5224174035820734</v>
      </c>
      <c r="L91" s="162">
        <f t="shared" si="57"/>
        <v>1.5511183611388244</v>
      </c>
      <c r="M91" s="162">
        <f t="shared" si="57"/>
        <v>1.58057842833019</v>
      </c>
      <c r="N91" s="162">
        <f t="shared" si="57"/>
        <v>6.4494831570452842</v>
      </c>
    </row>
    <row r="92" spans="1:14" x14ac:dyDescent="0.25">
      <c r="A92" s="75" t="s">
        <v>241</v>
      </c>
      <c r="B92" s="161" t="s">
        <v>116</v>
      </c>
      <c r="C92" s="162">
        <f t="shared" ref="C92:N92" si="58" xml:space="preserve"> -13296.8167*C77 + 17338.63401*C76 - 7542.52455*C75 + 1552.59022*C74 - 152.78609*C73 + 6.19</f>
        <v>0.4439577446041616</v>
      </c>
      <c r="D92" s="162">
        <f t="shared" si="58"/>
        <v>0.88951922254693638</v>
      </c>
      <c r="E92" s="162">
        <f t="shared" si="58"/>
        <v>1.0186157895562102</v>
      </c>
      <c r="F92" s="162">
        <f t="shared" si="58"/>
        <v>1.1786044201359642</v>
      </c>
      <c r="G92" s="162">
        <f t="shared" si="58"/>
        <v>1.3765154046159322</v>
      </c>
      <c r="H92" s="162">
        <f t="shared" si="58"/>
        <v>1.6199896042941857</v>
      </c>
      <c r="I92" s="162">
        <f t="shared" si="58"/>
        <v>2.2763527584712007</v>
      </c>
      <c r="J92" s="162">
        <f t="shared" si="58"/>
        <v>3.2153879839665107</v>
      </c>
      <c r="K92" s="162">
        <f t="shared" si="58"/>
        <v>2.0852876638174349</v>
      </c>
      <c r="L92" s="162">
        <f t="shared" si="58"/>
        <v>2.1214485215167072</v>
      </c>
      <c r="M92" s="162">
        <f t="shared" si="58"/>
        <v>2.1582807688801848</v>
      </c>
      <c r="N92" s="162">
        <f t="shared" si="58"/>
        <v>6.3222870526361516</v>
      </c>
    </row>
    <row r="93" spans="1:14" x14ac:dyDescent="0.25">
      <c r="A93" s="75" t="s">
        <v>242</v>
      </c>
      <c r="B93" s="161" t="s">
        <v>117</v>
      </c>
      <c r="C93" s="162">
        <f t="shared" ref="C93:N93" si="59" xml:space="preserve"> 57255.69581*C77 - 44678.74747*C76 + 14023.41918*C75 - 2111.06396*C74 + 151.68701*C73 - 3.73</f>
        <v>0.46570837364019413</v>
      </c>
      <c r="D93" s="162">
        <f t="shared" si="59"/>
        <v>1.1983002467022499</v>
      </c>
      <c r="E93" s="162">
        <f t="shared" si="59"/>
        <v>1.3985077968695454</v>
      </c>
      <c r="F93" s="162">
        <f t="shared" si="59"/>
        <v>1.6391080832179239</v>
      </c>
      <c r="G93" s="162">
        <f t="shared" si="59"/>
        <v>1.9321896196733346</v>
      </c>
      <c r="H93" s="162">
        <f t="shared" si="59"/>
        <v>2.294006487507215</v>
      </c>
      <c r="I93" s="162">
        <f t="shared" si="59"/>
        <v>3.3135278201425504</v>
      </c>
      <c r="J93" s="162">
        <f t="shared" si="59"/>
        <v>4.9353198713205337</v>
      </c>
      <c r="K93" s="162">
        <f t="shared" si="59"/>
        <v>3.0081624252116055</v>
      </c>
      <c r="L93" s="162">
        <f t="shared" si="59"/>
        <v>3.0653627113238895</v>
      </c>
      <c r="M93" s="162">
        <f t="shared" si="59"/>
        <v>3.1239055467477255</v>
      </c>
      <c r="N93" s="162">
        <f t="shared" si="59"/>
        <v>11.783905482145865</v>
      </c>
    </row>
    <row r="94" spans="1:14" x14ac:dyDescent="0.25">
      <c r="A94" s="75" t="s">
        <v>243</v>
      </c>
      <c r="B94" s="161" t="s">
        <v>118</v>
      </c>
      <c r="C94" s="162">
        <f t="shared" ref="C94:N94" si="60" xml:space="preserve"> 143089.62452*C77 - 117343.50532*C76 + 38649.35375*C75 - 6217.22547*C74 + 488.33352*C73 - 14.52</f>
        <v>0.56623739370087023</v>
      </c>
      <c r="D94" s="162">
        <f t="shared" si="60"/>
        <v>1.7078371456877299</v>
      </c>
      <c r="E94" s="162">
        <f t="shared" si="60"/>
        <v>2.0249986945134388</v>
      </c>
      <c r="F94" s="162">
        <f t="shared" si="60"/>
        <v>2.4085341279500589</v>
      </c>
      <c r="G94" s="162">
        <f t="shared" si="60"/>
        <v>2.8812155267461854</v>
      </c>
      <c r="H94" s="162">
        <f t="shared" si="60"/>
        <v>3.4749367901988215</v>
      </c>
      <c r="I94" s="162">
        <f t="shared" si="60"/>
        <v>5.2082738782085691</v>
      </c>
      <c r="J94" s="162">
        <f t="shared" si="60"/>
        <v>8.1068713796197578</v>
      </c>
      <c r="K94" s="162">
        <f t="shared" si="60"/>
        <v>4.6804477579457675</v>
      </c>
      <c r="L94" s="162">
        <f t="shared" si="60"/>
        <v>4.7787960634418134</v>
      </c>
      <c r="M94" s="162">
        <f t="shared" si="60"/>
        <v>4.8797071641054082</v>
      </c>
      <c r="N94" s="162">
        <f t="shared" si="60"/>
        <v>21.258135193944394</v>
      </c>
    </row>
    <row r="95" spans="1:14" x14ac:dyDescent="0.25">
      <c r="A95" s="75" t="s">
        <v>244</v>
      </c>
      <c r="B95" s="161" t="s">
        <v>214</v>
      </c>
      <c r="C95" s="162">
        <f xml:space="preserve"> 30265.1424899999*C77 - 26816.90085*C76 + 9821.16503*C75 - 1803.67859*C74 + 165.46921*C73 - 5.71</f>
        <v>0.33664770919116993</v>
      </c>
      <c r="D95" s="162">
        <f xml:space="preserve"> 30265.1424899999*D77 - 26816.90085*D76 + 9821.16503*D75 - 1803.67859*D74 + 165.46921*D73 - 5.71</f>
        <v>0.58746902743175244</v>
      </c>
      <c r="E95" s="162">
        <f t="shared" ref="E95:N95" si="61" xml:space="preserve"> 30265.1424899999*E77 - 26816.90085*E76 + 9821.16503*E75 - 1803.67859*E74 + 165.46921*E73 - 5.71</f>
        <v>0.6603208948321333</v>
      </c>
      <c r="F95" s="162">
        <f t="shared" si="61"/>
        <v>0.75106238340823328</v>
      </c>
      <c r="G95" s="162">
        <f t="shared" si="61"/>
        <v>0.86408415895988444</v>
      </c>
      <c r="H95" s="162">
        <f t="shared" si="61"/>
        <v>1.0052535898464976</v>
      </c>
      <c r="I95" s="162">
        <f t="shared" si="61"/>
        <v>1.4049168605493927</v>
      </c>
      <c r="J95" s="162">
        <f t="shared" si="61"/>
        <v>2.039372085951336</v>
      </c>
      <c r="K95" s="162">
        <f t="shared" si="61"/>
        <v>1.2852134642233404</v>
      </c>
      <c r="L95" s="162">
        <f t="shared" si="61"/>
        <v>1.3076414240963254</v>
      </c>
      <c r="M95" s="162">
        <f t="shared" si="61"/>
        <v>1.3305934549572109</v>
      </c>
      <c r="N95" s="162">
        <f t="shared" si="61"/>
        <v>4.7207755952452795</v>
      </c>
    </row>
    <row r="96" spans="1:14" x14ac:dyDescent="0.25">
      <c r="A96" s="75" t="s">
        <v>245</v>
      </c>
      <c r="B96" s="161" t="s">
        <v>119</v>
      </c>
      <c r="C96" s="162">
        <f t="shared" ref="C96:N96" si="62" xml:space="preserve"> 54477.25649*C77 - 47053.5012*C76 + 16421.96104*C75 - 2825.53995*C74 + 239.64014*C73 - 7.66</f>
        <v>0.38474465697996862</v>
      </c>
      <c r="D96" s="162">
        <f t="shared" si="62"/>
        <v>0.77491807723169259</v>
      </c>
      <c r="E96" s="162">
        <f t="shared" si="62"/>
        <v>0.88591877081845993</v>
      </c>
      <c r="F96" s="162">
        <f t="shared" si="62"/>
        <v>1.0197029675710674</v>
      </c>
      <c r="G96" s="162">
        <f t="shared" si="62"/>
        <v>1.182978843232835</v>
      </c>
      <c r="H96" s="162">
        <f t="shared" si="62"/>
        <v>1.3853884327852803</v>
      </c>
      <c r="I96" s="162">
        <f t="shared" si="62"/>
        <v>1.9644974117212222</v>
      </c>
      <c r="J96" s="162">
        <f t="shared" si="62"/>
        <v>2.9159677752619153</v>
      </c>
      <c r="K96" s="162">
        <f t="shared" si="62"/>
        <v>1.7894911163275573</v>
      </c>
      <c r="L96" s="162">
        <f t="shared" si="62"/>
        <v>1.8221683230874426</v>
      </c>
      <c r="M96" s="162">
        <f t="shared" si="62"/>
        <v>1.8556623224659567</v>
      </c>
      <c r="N96" s="162">
        <f t="shared" si="62"/>
        <v>7.2079923798344474</v>
      </c>
    </row>
    <row r="97" spans="1:14" x14ac:dyDescent="0.25">
      <c r="A97" s="75" t="s">
        <v>246</v>
      </c>
      <c r="B97" s="161" t="s">
        <v>120</v>
      </c>
      <c r="C97" s="162">
        <f t="shared" ref="C97:N97" si="63" xml:space="preserve"> 76208.6211*C77 - 64528.35091*C76 + 21766.90698*C75 - 3544.03862*C74 + 277.89526*C73 - 8.01</f>
        <v>0.43220584929792061</v>
      </c>
      <c r="D97" s="162">
        <f t="shared" si="63"/>
        <v>1.0936884217317111</v>
      </c>
      <c r="E97" s="162">
        <f t="shared" si="63"/>
        <v>1.276443596615648</v>
      </c>
      <c r="F97" s="162">
        <f t="shared" si="63"/>
        <v>1.4894361180752593</v>
      </c>
      <c r="G97" s="162">
        <f t="shared" si="63"/>
        <v>1.7415310472840826</v>
      </c>
      <c r="H97" s="162">
        <f t="shared" si="63"/>
        <v>2.0459911606213605</v>
      </c>
      <c r="I97" s="162">
        <f t="shared" si="63"/>
        <v>2.8921543416790367</v>
      </c>
      <c r="J97" s="162">
        <f t="shared" si="63"/>
        <v>4.2543310725936347</v>
      </c>
      <c r="K97" s="162">
        <f t="shared" si="63"/>
        <v>2.6388729992242954</v>
      </c>
      <c r="L97" s="162">
        <f t="shared" si="63"/>
        <v>2.6862804843122543</v>
      </c>
      <c r="M97" s="162">
        <f t="shared" si="63"/>
        <v>2.7348143643675424</v>
      </c>
      <c r="N97" s="162">
        <f t="shared" si="63"/>
        <v>10.349835045970101</v>
      </c>
    </row>
    <row r="98" spans="1:14" x14ac:dyDescent="0.25">
      <c r="A98" s="75" t="s">
        <v>247</v>
      </c>
      <c r="B98" s="161" t="s">
        <v>121</v>
      </c>
      <c r="C98" s="162">
        <f t="shared" ref="C98:N98" si="64" xml:space="preserve"> 73827.1017*C77 - 60714.3115*C76 + 20349.36168*C75 - 3304.30929*C74 + 259.49856*C73 - 7.45</f>
        <v>0.51880531142144104</v>
      </c>
      <c r="D98" s="162">
        <f t="shared" si="64"/>
        <v>1.5693451623646082</v>
      </c>
      <c r="E98" s="162">
        <f t="shared" si="64"/>
        <v>1.8676082732699326</v>
      </c>
      <c r="F98" s="162">
        <f t="shared" si="64"/>
        <v>2.2226103808041655</v>
      </c>
      <c r="G98" s="162">
        <f t="shared" si="64"/>
        <v>2.6476008504758637</v>
      </c>
      <c r="H98" s="162">
        <f t="shared" si="64"/>
        <v>3.1604967141437497</v>
      </c>
      <c r="I98" s="162">
        <f t="shared" si="64"/>
        <v>4.5499591868419058</v>
      </c>
      <c r="J98" s="162">
        <f t="shared" si="64"/>
        <v>6.6590253739661618</v>
      </c>
      <c r="K98" s="162">
        <f t="shared" si="64"/>
        <v>4.1408533967575947</v>
      </c>
      <c r="L98" s="162">
        <f t="shared" si="64"/>
        <v>4.2178804125130283</v>
      </c>
      <c r="M98" s="162">
        <f t="shared" si="64"/>
        <v>4.2965203478662373</v>
      </c>
      <c r="N98" s="162">
        <f t="shared" si="64"/>
        <v>15.123098854973495</v>
      </c>
    </row>
    <row r="99" spans="1:14" x14ac:dyDescent="0.25">
      <c r="A99" s="75" t="s">
        <v>248</v>
      </c>
      <c r="B99" s="161" t="s">
        <v>219</v>
      </c>
      <c r="C99" s="162">
        <f xml:space="preserve"> 40733.9049*C77 - 36751.17452*C76 + 13395.20097*C75 - 2415.4317*C74 + 215.01129*C73 - 7.26</f>
        <v>0.29891195010047689</v>
      </c>
      <c r="D99" s="162">
        <f t="shared" ref="D99:N99" si="65" xml:space="preserve"> 40733.9049*D77 - 36751.17452*D76 + 13395.20097*D75 - 2415.4317*D74 + 215.01129*D73 - 7.26</f>
        <v>0.52297556380609755</v>
      </c>
      <c r="E99" s="162">
        <f t="shared" si="65"/>
        <v>0.58995001522538892</v>
      </c>
      <c r="F99" s="162">
        <f t="shared" si="65"/>
        <v>0.67106460950679114</v>
      </c>
      <c r="G99" s="162">
        <f t="shared" si="65"/>
        <v>0.7699864460460244</v>
      </c>
      <c r="H99" s="162">
        <f t="shared" si="65"/>
        <v>0.89222093618334775</v>
      </c>
      <c r="I99" s="162">
        <f t="shared" si="65"/>
        <v>1.2405711855194763</v>
      </c>
      <c r="J99" s="162">
        <f t="shared" si="65"/>
        <v>1.814215540628096</v>
      </c>
      <c r="K99" s="162">
        <f t="shared" si="65"/>
        <v>1.135371526803814</v>
      </c>
      <c r="L99" s="162">
        <f t="shared" si="65"/>
        <v>1.1550135896827509</v>
      </c>
      <c r="M99" s="162">
        <f t="shared" si="65"/>
        <v>1.1751465012527529</v>
      </c>
      <c r="N99" s="162">
        <f t="shared" si="65"/>
        <v>4.4536605762765102</v>
      </c>
    </row>
    <row r="100" spans="1:14" x14ac:dyDescent="0.25">
      <c r="A100" s="75" t="s">
        <v>249</v>
      </c>
      <c r="B100" s="161" t="s">
        <v>141</v>
      </c>
      <c r="C100" s="162">
        <f t="shared" ref="C100:N100" si="66" xml:space="preserve"> 58644.91546*C77 - 51277.08978*C76+ 18140.63323*C75 - 3175.6924*C74 + 274.28544*C73 - 9.02</f>
        <v>0.33775228503347066</v>
      </c>
      <c r="D100" s="162">
        <f t="shared" si="66"/>
        <v>0.66261745932829896</v>
      </c>
      <c r="E100" s="162">
        <f t="shared" si="66"/>
        <v>0.76396733454280152</v>
      </c>
      <c r="F100" s="162">
        <f t="shared" si="66"/>
        <v>0.8883034430254817</v>
      </c>
      <c r="G100" s="162">
        <f t="shared" si="66"/>
        <v>1.0424158944459769</v>
      </c>
      <c r="H100" s="162">
        <f t="shared" si="66"/>
        <v>1.2361117169048121</v>
      </c>
      <c r="I100" s="162">
        <f t="shared" si="66"/>
        <v>1.800496729998553</v>
      </c>
      <c r="J100" s="162">
        <f t="shared" si="66"/>
        <v>2.7451465622584088</v>
      </c>
      <c r="K100" s="162">
        <f t="shared" si="66"/>
        <v>1.6287380284441859</v>
      </c>
      <c r="L100" s="162">
        <f t="shared" si="66"/>
        <v>1.660743230709766</v>
      </c>
      <c r="M100" s="162">
        <f t="shared" si="66"/>
        <v>1.6935809704526683</v>
      </c>
      <c r="N100" s="162">
        <f t="shared" si="66"/>
        <v>7.0931345839390723</v>
      </c>
    </row>
    <row r="101" spans="1:14" x14ac:dyDescent="0.25">
      <c r="A101" s="75" t="s">
        <v>250</v>
      </c>
      <c r="B101" s="161" t="s">
        <v>142</v>
      </c>
      <c r="C101" s="165">
        <f xml:space="preserve"> 29372.07272*C77 - 22669.98997*C76 + 6956.69784*C75 - 960.8162*C74 + 55.83313*C73 - 0.51</f>
        <v>0.40541822724710452</v>
      </c>
      <c r="D101" s="165">
        <f t="shared" ref="D101:N101" si="67" xml:space="preserve"> 29372.07272*D77 - 22669.98997*D76 + 6956.69784*D75 - 960.8162*D74 + 55.83313*D73 - 0.51</f>
        <v>1.0134870417597239</v>
      </c>
      <c r="E101" s="165">
        <f t="shared" si="67"/>
        <v>1.1836422017395323</v>
      </c>
      <c r="F101" s="165">
        <f t="shared" si="67"/>
        <v>1.3820668238346501</v>
      </c>
      <c r="G101" s="165">
        <f t="shared" si="67"/>
        <v>1.6148367825970966</v>
      </c>
      <c r="H101" s="165">
        <f t="shared" si="67"/>
        <v>1.8902215691977202</v>
      </c>
      <c r="I101" s="165">
        <f t="shared" si="67"/>
        <v>2.6148502742824782</v>
      </c>
      <c r="J101" s="165">
        <f t="shared" si="67"/>
        <v>3.6784490045778568</v>
      </c>
      <c r="K101" s="165">
        <f t="shared" si="67"/>
        <v>2.4040991826659646</v>
      </c>
      <c r="L101" s="165">
        <f t="shared" si="67"/>
        <v>2.4439231127898289</v>
      </c>
      <c r="M101" s="165">
        <f t="shared" si="67"/>
        <v>2.4845101129944656</v>
      </c>
      <c r="N101" s="165">
        <f t="shared" si="67"/>
        <v>7.7703451915223756</v>
      </c>
    </row>
    <row r="102" spans="1:14" x14ac:dyDescent="0.25">
      <c r="A102" s="170" t="s">
        <v>251</v>
      </c>
      <c r="B102" s="161" t="s">
        <v>143</v>
      </c>
      <c r="C102" s="162">
        <f xml:space="preserve"> 4564.57887*C77 - 4085.11767*C76 + 2049.36962*C75 - 391.39311*C74 + 30.6636*C73 - 0.38</f>
        <v>0.47137324824678373</v>
      </c>
      <c r="D102" s="162">
        <f t="shared" ref="D102:N102" si="68" xml:space="preserve"> 4564.57887*D77 - 4085.11767*D76 + 2049.36962*D75 - 391.39311*D74 + 30.6636*D73 - 0.38</f>
        <v>1.4308532726442778</v>
      </c>
      <c r="E102" s="162">
        <f t="shared" si="68"/>
        <v>1.7102179606620762</v>
      </c>
      <c r="F102" s="162">
        <f t="shared" si="68"/>
        <v>2.0366867588887176</v>
      </c>
      <c r="G102" s="162">
        <f t="shared" si="68"/>
        <v>2.413986317673225</v>
      </c>
      <c r="H102" s="162">
        <f t="shared" si="68"/>
        <v>2.8460568015160108</v>
      </c>
      <c r="I102" s="162">
        <f t="shared" si="68"/>
        <v>3.8916447043077875</v>
      </c>
      <c r="J102" s="162">
        <f t="shared" si="68"/>
        <v>5.2111796303904336</v>
      </c>
      <c r="K102" s="162">
        <f t="shared" si="68"/>
        <v>3.6012592321319534</v>
      </c>
      <c r="L102" s="162">
        <f t="shared" si="68"/>
        <v>3.656964960518569</v>
      </c>
      <c r="M102" s="162">
        <f t="shared" si="68"/>
        <v>3.7133337329526768</v>
      </c>
      <c r="N102" s="162">
        <f t="shared" si="68"/>
        <v>8.9880629149859868</v>
      </c>
    </row>
    <row r="103" spans="1:14" x14ac:dyDescent="0.25">
      <c r="A103" s="163"/>
      <c r="B103" s="164" t="s">
        <v>220</v>
      </c>
      <c r="C103" s="67">
        <f>($C12-0.75)*($C12-0.8)/0.005</f>
        <v>-0.10151642598368285</v>
      </c>
      <c r="D103" s="67">
        <f t="shared" ref="D103:N103" si="69">($C12-0.75)*($C12-0.8)/0.005</f>
        <v>-0.10151642598368285</v>
      </c>
      <c r="E103" s="67">
        <f t="shared" si="69"/>
        <v>-0.10151642598368285</v>
      </c>
      <c r="F103" s="67">
        <f t="shared" si="69"/>
        <v>-0.10151642598368285</v>
      </c>
      <c r="G103" s="67">
        <f t="shared" si="69"/>
        <v>-0.10151642598368285</v>
      </c>
      <c r="H103" s="67">
        <f t="shared" si="69"/>
        <v>-0.10151642598368285</v>
      </c>
      <c r="I103" s="67">
        <f t="shared" si="69"/>
        <v>-0.10151642598368285</v>
      </c>
      <c r="J103" s="67">
        <f t="shared" si="69"/>
        <v>-0.10151642598368285</v>
      </c>
      <c r="K103" s="67">
        <f t="shared" si="69"/>
        <v>-0.10151642598368285</v>
      </c>
      <c r="L103" s="67">
        <f t="shared" si="69"/>
        <v>-0.10151642598368285</v>
      </c>
      <c r="M103" s="67">
        <f t="shared" si="69"/>
        <v>-0.10151642598368285</v>
      </c>
      <c r="N103" s="67">
        <f t="shared" si="69"/>
        <v>-0.10151642598368285</v>
      </c>
    </row>
    <row r="104" spans="1:14" x14ac:dyDescent="0.25">
      <c r="A104" s="163"/>
      <c r="B104" s="164" t="s">
        <v>144</v>
      </c>
      <c r="C104" s="67">
        <f>($C12-0.7)*($C12-0.8)/0.0025</f>
        <v>-0.48631379873799579</v>
      </c>
      <c r="D104" s="67">
        <f t="shared" ref="D104:N104" si="70">($C12-0.7)*($C12-0.8)/0.0025</f>
        <v>-0.48631379873799579</v>
      </c>
      <c r="E104" s="67">
        <f t="shared" si="70"/>
        <v>-0.48631379873799579</v>
      </c>
      <c r="F104" s="67">
        <f t="shared" si="70"/>
        <v>-0.48631379873799579</v>
      </c>
      <c r="G104" s="67">
        <f t="shared" si="70"/>
        <v>-0.48631379873799579</v>
      </c>
      <c r="H104" s="67">
        <f t="shared" si="70"/>
        <v>-0.48631379873799579</v>
      </c>
      <c r="I104" s="67">
        <f t="shared" si="70"/>
        <v>-0.48631379873799579</v>
      </c>
      <c r="J104" s="67">
        <f t="shared" si="70"/>
        <v>-0.48631379873799579</v>
      </c>
      <c r="K104" s="67">
        <f t="shared" si="70"/>
        <v>-0.48631379873799579</v>
      </c>
      <c r="L104" s="67">
        <f t="shared" si="70"/>
        <v>-0.48631379873799579</v>
      </c>
      <c r="M104" s="67">
        <f t="shared" si="70"/>
        <v>-0.48631379873799579</v>
      </c>
      <c r="N104" s="67">
        <f t="shared" si="70"/>
        <v>-0.48631379873799579</v>
      </c>
    </row>
    <row r="105" spans="1:14" x14ac:dyDescent="0.25">
      <c r="A105" s="166"/>
      <c r="B105" s="169" t="s">
        <v>145</v>
      </c>
      <c r="C105" s="167">
        <f>($C12-0.7)*($C12-0.75)/0.005</f>
        <v>0.61520262724568886</v>
      </c>
      <c r="D105" s="167">
        <f t="shared" ref="D105:N105" si="71">($C12-0.7)*($C12-0.75)/0.005</f>
        <v>0.61520262724568886</v>
      </c>
      <c r="E105" s="167">
        <f t="shared" si="71"/>
        <v>0.61520262724568886</v>
      </c>
      <c r="F105" s="167">
        <f t="shared" si="71"/>
        <v>0.61520262724568886</v>
      </c>
      <c r="G105" s="167">
        <f t="shared" si="71"/>
        <v>0.61520262724568886</v>
      </c>
      <c r="H105" s="167">
        <f t="shared" si="71"/>
        <v>0.61520262724568886</v>
      </c>
      <c r="I105" s="167">
        <f t="shared" si="71"/>
        <v>0.61520262724568886</v>
      </c>
      <c r="J105" s="167">
        <f t="shared" si="71"/>
        <v>0.61520262724568886</v>
      </c>
      <c r="K105" s="167">
        <f t="shared" si="71"/>
        <v>0.61520262724568886</v>
      </c>
      <c r="L105" s="167">
        <f t="shared" si="71"/>
        <v>0.61520262724568886</v>
      </c>
      <c r="M105" s="167">
        <f t="shared" si="71"/>
        <v>0.61520262724568886</v>
      </c>
      <c r="N105" s="167">
        <f t="shared" si="71"/>
        <v>0.61520262724568886</v>
      </c>
    </row>
    <row r="106" spans="1:14" x14ac:dyDescent="0.25">
      <c r="A106" s="166"/>
      <c r="B106" s="169" t="s">
        <v>146</v>
      </c>
      <c r="C106" s="167">
        <f>($C12-0.8)*($C12-0.85)/0.005</f>
        <v>0.18176452078694696</v>
      </c>
      <c r="D106" s="167">
        <f t="shared" ref="D106:N106" si="72">($C12-0.8)*($C12-0.85)/0.005</f>
        <v>0.18176452078694696</v>
      </c>
      <c r="E106" s="167">
        <f t="shared" si="72"/>
        <v>0.18176452078694696</v>
      </c>
      <c r="F106" s="167">
        <f t="shared" si="72"/>
        <v>0.18176452078694696</v>
      </c>
      <c r="G106" s="167">
        <f t="shared" si="72"/>
        <v>0.18176452078694696</v>
      </c>
      <c r="H106" s="167">
        <f t="shared" si="72"/>
        <v>0.18176452078694696</v>
      </c>
      <c r="I106" s="167">
        <f t="shared" si="72"/>
        <v>0.18176452078694696</v>
      </c>
      <c r="J106" s="167">
        <f t="shared" si="72"/>
        <v>0.18176452078694696</v>
      </c>
      <c r="K106" s="167">
        <f t="shared" si="72"/>
        <v>0.18176452078694696</v>
      </c>
      <c r="L106" s="167">
        <f t="shared" si="72"/>
        <v>0.18176452078694696</v>
      </c>
      <c r="M106" s="167">
        <f t="shared" si="72"/>
        <v>0.18176452078694696</v>
      </c>
      <c r="N106" s="167">
        <f t="shared" si="72"/>
        <v>0.18176452078694696</v>
      </c>
    </row>
    <row r="107" spans="1:14" x14ac:dyDescent="0.25">
      <c r="A107" s="166"/>
      <c r="B107" s="169" t="s">
        <v>147</v>
      </c>
      <c r="C107" s="167">
        <f>($C12-0.75)*($C12-0.85)/0.0025</f>
        <v>-0.91975190519673566</v>
      </c>
      <c r="D107" s="167">
        <f t="shared" ref="D107:N107" si="73">($C12-0.75)*($C12-0.85)/0.0025</f>
        <v>-0.91975190519673566</v>
      </c>
      <c r="E107" s="167">
        <f t="shared" si="73"/>
        <v>-0.91975190519673566</v>
      </c>
      <c r="F107" s="167">
        <f t="shared" si="73"/>
        <v>-0.91975190519673566</v>
      </c>
      <c r="G107" s="167">
        <f t="shared" si="73"/>
        <v>-0.91975190519673566</v>
      </c>
      <c r="H107" s="167">
        <f t="shared" si="73"/>
        <v>-0.91975190519673566</v>
      </c>
      <c r="I107" s="167">
        <f t="shared" si="73"/>
        <v>-0.91975190519673566</v>
      </c>
      <c r="J107" s="167">
        <f t="shared" si="73"/>
        <v>-0.91975190519673566</v>
      </c>
      <c r="K107" s="167">
        <f t="shared" si="73"/>
        <v>-0.91975190519673566</v>
      </c>
      <c r="L107" s="167">
        <f t="shared" si="73"/>
        <v>-0.91975190519673566</v>
      </c>
      <c r="M107" s="167">
        <f t="shared" si="73"/>
        <v>-0.91975190519673566</v>
      </c>
      <c r="N107" s="167">
        <f t="shared" si="73"/>
        <v>-0.91975190519673566</v>
      </c>
    </row>
    <row r="108" spans="1:14" x14ac:dyDescent="0.25">
      <c r="A108" s="172" t="s">
        <v>252</v>
      </c>
      <c r="B108" s="173" t="s">
        <v>221</v>
      </c>
      <c r="C108" s="174">
        <f t="shared" ref="C108:N108" si="74">IF($C12&lt;0.775,C103*C79-C104*C80+C105*C81,C106*C80-C107*C81+C103*C82)</f>
        <v>0.6997245859745741</v>
      </c>
      <c r="D108" s="174">
        <f t="shared" si="74"/>
        <v>1.5154930194225389</v>
      </c>
      <c r="E108" s="174">
        <f t="shared" si="74"/>
        <v>1.7347210572686684</v>
      </c>
      <c r="F108" s="174">
        <f t="shared" si="74"/>
        <v>2.0338684582748354</v>
      </c>
      <c r="G108" s="174">
        <f t="shared" si="74"/>
        <v>2.4599563466440681</v>
      </c>
      <c r="H108" s="174">
        <f t="shared" si="74"/>
        <v>3.0774399130813181</v>
      </c>
      <c r="I108" s="174">
        <f t="shared" si="74"/>
        <v>5.2470842787023981</v>
      </c>
      <c r="J108" s="174">
        <f t="shared" si="74"/>
        <v>9.5052853978279064</v>
      </c>
      <c r="K108" s="174">
        <f t="shared" si="74"/>
        <v>4.5422458515153101</v>
      </c>
      <c r="L108" s="174">
        <f t="shared" si="74"/>
        <v>4.6711690086572419</v>
      </c>
      <c r="M108" s="174">
        <f t="shared" si="74"/>
        <v>4.8046493379378159</v>
      </c>
      <c r="N108" s="174">
        <f t="shared" si="74"/>
        <v>31.429275889384797</v>
      </c>
    </row>
    <row r="109" spans="1:14" x14ac:dyDescent="0.25">
      <c r="A109" s="172" t="s">
        <v>253</v>
      </c>
      <c r="B109" s="173" t="s">
        <v>223</v>
      </c>
      <c r="C109" s="174">
        <f t="shared" ref="C109:N109" si="75">IF($C12&lt;0.775,C103*C83-C104*C84+C105*C85,C106*C84-C107*C85+C103*C86)</f>
        <v>0.6149156796637385</v>
      </c>
      <c r="D109" s="174">
        <f t="shared" si="75"/>
        <v>1.3591437629226897</v>
      </c>
      <c r="E109" s="174">
        <f t="shared" si="75"/>
        <v>1.5599888323466695</v>
      </c>
      <c r="F109" s="174">
        <f t="shared" si="75"/>
        <v>1.8157652424493549</v>
      </c>
      <c r="G109" s="174">
        <f t="shared" si="75"/>
        <v>2.1578599741332658</v>
      </c>
      <c r="H109" s="174">
        <f t="shared" si="75"/>
        <v>2.6344045514316048</v>
      </c>
      <c r="I109" s="174">
        <f t="shared" si="75"/>
        <v>4.298217662190404</v>
      </c>
      <c r="J109" s="174">
        <f t="shared" si="75"/>
        <v>7.7367717095604176</v>
      </c>
      <c r="K109" s="174">
        <f t="shared" si="75"/>
        <v>3.7531043866576739</v>
      </c>
      <c r="L109" s="174">
        <f t="shared" si="75"/>
        <v>3.8523454262551877</v>
      </c>
      <c r="M109" s="174">
        <f t="shared" si="75"/>
        <v>3.9553062726373107</v>
      </c>
      <c r="N109" s="174">
        <f t="shared" si="75"/>
        <v>28.221510587670444</v>
      </c>
    </row>
    <row r="110" spans="1:14" x14ac:dyDescent="0.25">
      <c r="A110" s="172" t="s">
        <v>254</v>
      </c>
      <c r="B110" s="173" t="s">
        <v>222</v>
      </c>
      <c r="C110" s="174">
        <f t="shared" ref="C110:N110" si="76">IF($C12&lt;0.775,C103*C87-C104*C88+C105*C89,C106*C88-C107*C89+C103*C90)</f>
        <v>0.52703949350387924</v>
      </c>
      <c r="D110" s="174">
        <f t="shared" si="76"/>
        <v>1.1897369539078351</v>
      </c>
      <c r="E110" s="174">
        <f t="shared" si="76"/>
        <v>1.368685014978098</v>
      </c>
      <c r="F110" s="174">
        <f t="shared" si="76"/>
        <v>1.5870814529927495</v>
      </c>
      <c r="G110" s="174">
        <f t="shared" si="76"/>
        <v>1.8622976485320923</v>
      </c>
      <c r="H110" s="174">
        <f t="shared" si="76"/>
        <v>2.2212285940459724</v>
      </c>
      <c r="I110" s="174">
        <f t="shared" si="76"/>
        <v>3.364310066275161</v>
      </c>
      <c r="J110" s="174">
        <f t="shared" si="76"/>
        <v>5.5494442707245968</v>
      </c>
      <c r="K110" s="174">
        <f t="shared" si="76"/>
        <v>3.0014937212884547</v>
      </c>
      <c r="L110" s="174">
        <f t="shared" si="76"/>
        <v>3.0681576647642101</v>
      </c>
      <c r="M110" s="174">
        <f t="shared" si="76"/>
        <v>3.1370112294505721</v>
      </c>
      <c r="N110" s="174">
        <f t="shared" si="76"/>
        <v>17.897921398043476</v>
      </c>
    </row>
    <row r="111" spans="1:14" x14ac:dyDescent="0.25">
      <c r="A111" s="172" t="s">
        <v>255</v>
      </c>
      <c r="B111" s="173" t="s">
        <v>225</v>
      </c>
      <c r="C111" s="174">
        <f t="shared" ref="C111:N111" si="77">IF($C12&lt;0.775,C103*C91-C104*C92+C105*C93,C106*C92-C107*C93+C103*C94)</f>
        <v>0.45154953415244309</v>
      </c>
      <c r="D111" s="174">
        <f t="shared" si="77"/>
        <v>1.0904484469267417</v>
      </c>
      <c r="E111" s="174">
        <f t="shared" si="77"/>
        <v>1.2658577913693281</v>
      </c>
      <c r="F111" s="174">
        <f t="shared" si="77"/>
        <v>1.4772954734572299</v>
      </c>
      <c r="G111" s="174">
        <f t="shared" si="77"/>
        <v>1.7348460440078037</v>
      </c>
      <c r="H111" s="174">
        <f t="shared" si="77"/>
        <v>2.0516103080626058</v>
      </c>
      <c r="I111" s="174">
        <f t="shared" si="77"/>
        <v>2.9326583441241509</v>
      </c>
      <c r="J111" s="174">
        <f t="shared" si="77"/>
        <v>4.300732702083744</v>
      </c>
      <c r="K111" s="174">
        <f t="shared" si="77"/>
        <v>2.6706521062563189</v>
      </c>
      <c r="L111" s="174">
        <f t="shared" si="77"/>
        <v>2.7198509708813345</v>
      </c>
      <c r="M111" s="174">
        <f t="shared" si="77"/>
        <v>2.7701465168081074</v>
      </c>
      <c r="N111" s="174">
        <f t="shared" si="77"/>
        <v>9.8293870862946662</v>
      </c>
    </row>
    <row r="112" spans="1:14" x14ac:dyDescent="0.25">
      <c r="A112" s="172" t="s">
        <v>256</v>
      </c>
      <c r="B112" s="173" t="s">
        <v>226</v>
      </c>
      <c r="C112" s="174">
        <f t="shared" ref="C112:N112" si="78">IF($C12&lt;0.775,C103*C95-C104*C96+C105*C97,C106*C96-C107*C97+C103*C98)</f>
        <v>0.4147878205333817</v>
      </c>
      <c r="D112" s="174">
        <f t="shared" si="78"/>
        <v>0.98746031051847571</v>
      </c>
      <c r="E112" s="174">
        <f t="shared" si="78"/>
        <v>1.1454471136574733</v>
      </c>
      <c r="F112" s="174">
        <f t="shared" si="78"/>
        <v>1.3296260663006614</v>
      </c>
      <c r="G112" s="174">
        <f t="shared" si="78"/>
        <v>1.5480251054684455</v>
      </c>
      <c r="H112" s="174">
        <f t="shared" si="78"/>
        <v>1.812776401833126</v>
      </c>
      <c r="I112" s="174">
        <f t="shared" si="78"/>
        <v>2.5552448014911966</v>
      </c>
      <c r="J112" s="174">
        <f t="shared" si="78"/>
        <v>3.7669481381566272</v>
      </c>
      <c r="K112" s="174">
        <f t="shared" si="78"/>
        <v>2.332009826459323</v>
      </c>
      <c r="L112" s="174">
        <f t="shared" si="78"/>
        <v>2.3737330006732451</v>
      </c>
      <c r="M112" s="174">
        <f t="shared" si="78"/>
        <v>2.4164769048903141</v>
      </c>
      <c r="N112" s="174">
        <f t="shared" si="78"/>
        <v>9.2941948372046816</v>
      </c>
    </row>
    <row r="113" spans="1:14" x14ac:dyDescent="0.25">
      <c r="A113" s="172" t="s">
        <v>257</v>
      </c>
      <c r="B113" s="173" t="s">
        <v>227</v>
      </c>
      <c r="C113" s="174">
        <f t="shared" ref="C113:N113" si="79">IF($C12&lt;0.775,C103*C99-C104*C100+C105*C101,C106*C100-C107*C101+C103*C102)</f>
        <v>0.3864234416794799</v>
      </c>
      <c r="D113" s="174">
        <f t="shared" si="79"/>
        <v>0.9073418721646791</v>
      </c>
      <c r="E113" s="174">
        <f t="shared" si="79"/>
        <v>1.0539041115617307</v>
      </c>
      <c r="F113" s="174">
        <f t="shared" si="79"/>
        <v>1.2258634833553688</v>
      </c>
      <c r="G113" s="174">
        <f t="shared" si="79"/>
        <v>1.4296641695464192</v>
      </c>
      <c r="H113" s="174">
        <f t="shared" si="79"/>
        <v>1.6742946287394427</v>
      </c>
      <c r="I113" s="174">
        <f t="shared" si="79"/>
        <v>2.3372140853025152</v>
      </c>
      <c r="J113" s="174">
        <f t="shared" si="79"/>
        <v>3.353210398272148</v>
      </c>
      <c r="K113" s="174">
        <f t="shared" si="79"/>
        <v>2.1416346244797921</v>
      </c>
      <c r="L113" s="174">
        <f t="shared" si="79"/>
        <v>2.1784251238835033</v>
      </c>
      <c r="M113" s="174">
        <f t="shared" si="79"/>
        <v>2.2160014743614354</v>
      </c>
      <c r="N113" s="174">
        <f t="shared" si="79"/>
        <v>7.5236339788201452</v>
      </c>
    </row>
    <row r="114" spans="1:14" x14ac:dyDescent="0.25">
      <c r="A114" s="159" t="s">
        <v>131</v>
      </c>
      <c r="B114" s="171" t="s">
        <v>122</v>
      </c>
      <c r="C114" s="184">
        <f t="shared" ref="C114:N114" si="80">IF($C13&gt;5.25,IF($C13&lt;5.75,C109*($C13-5.5)*($C13-6)/0.5-C110*($C13-5)*($C13-6)/0.25+C111*($C13-5)*($C13-5.5)/0.5,IF($C13&lt;6.25,C110*($C13-6)*($C13-6.5)/0.5-C111*($C13-5.5)*($C13-6.5)/0.25+C112*($C13-5.5)*($C13-6)/0.5,C111*($C13-6.5)*($C13-7)/0.5-C112*($C13-6)*($C13-7)/0.25+C113*($C13-6)*($C13-6.5)/0.5)),C108*($C13-5)*($C13-5.5)/0.5-C109*($C13-4.5)*($C13-5.5)/0.25+C110*($C13-4.5)*($C13-5)/0.5)</f>
        <v>0.64239389036495076</v>
      </c>
      <c r="D114" s="184">
        <f t="shared" si="80"/>
        <v>1.4106066735302876</v>
      </c>
      <c r="E114" s="184">
        <f t="shared" si="80"/>
        <v>1.6177178769268206</v>
      </c>
      <c r="F114" s="184">
        <f t="shared" si="80"/>
        <v>1.8867239759725953</v>
      </c>
      <c r="G114" s="184">
        <f t="shared" si="80"/>
        <v>2.2538397938036656</v>
      </c>
      <c r="H114" s="184">
        <f t="shared" si="80"/>
        <v>2.7729560845802768</v>
      </c>
      <c r="I114" s="184">
        <f t="shared" si="80"/>
        <v>4.6002899610758829</v>
      </c>
      <c r="J114" s="184">
        <f t="shared" si="80"/>
        <v>8.3483848695497649</v>
      </c>
      <c r="K114" s="184">
        <f t="shared" si="80"/>
        <v>4.0015980044328385</v>
      </c>
      <c r="L114" s="184">
        <f t="shared" si="80"/>
        <v>4.1106542911304738</v>
      </c>
      <c r="M114" s="184">
        <f t="shared" si="80"/>
        <v>4.2237737839380403</v>
      </c>
      <c r="N114" s="184">
        <f t="shared" si="80"/>
        <v>30.022493714480159</v>
      </c>
    </row>
    <row r="115" spans="1:14" x14ac:dyDescent="0.25">
      <c r="A115" s="166"/>
      <c r="B115" s="169" t="s">
        <v>123</v>
      </c>
      <c r="C115" s="167">
        <f t="shared" ref="C115:N115" si="81">C22</f>
        <v>0.12</v>
      </c>
      <c r="D115" s="167">
        <f t="shared" si="81"/>
        <v>0.200555877516121</v>
      </c>
      <c r="E115" s="167">
        <f t="shared" si="81"/>
        <v>0.21041363441822353</v>
      </c>
      <c r="F115" s="167">
        <f t="shared" si="81"/>
        <v>0.22027139132032608</v>
      </c>
      <c r="G115" s="167">
        <f t="shared" si="81"/>
        <v>0.23012914822242861</v>
      </c>
      <c r="H115" s="167">
        <f t="shared" si="81"/>
        <v>0.23998690512453114</v>
      </c>
      <c r="I115" s="167">
        <f t="shared" si="81"/>
        <v>0.25970241892873619</v>
      </c>
      <c r="J115" s="167">
        <f t="shared" si="81"/>
        <v>0.27941793273294124</v>
      </c>
      <c r="K115" s="167">
        <f t="shared" si="81"/>
        <v>0.25468669016013873</v>
      </c>
      <c r="L115" s="167">
        <f t="shared" si="81"/>
        <v>0.25567246585034897</v>
      </c>
      <c r="M115" s="167">
        <f t="shared" si="81"/>
        <v>0.25665824154055922</v>
      </c>
      <c r="N115" s="167">
        <f t="shared" si="81"/>
        <v>0.32</v>
      </c>
    </row>
    <row r="116" spans="1:14" x14ac:dyDescent="0.25">
      <c r="A116" s="166"/>
      <c r="B116" s="169" t="s">
        <v>165</v>
      </c>
      <c r="C116" s="167">
        <f t="shared" ref="C116:N116" si="82">C52+C54+C56+C60</f>
        <v>0.70611645776255072</v>
      </c>
      <c r="D116" s="167">
        <f t="shared" si="82"/>
        <v>1.4748581982114408</v>
      </c>
      <c r="E116" s="167">
        <f t="shared" si="82"/>
        <v>1.6956368565915454</v>
      </c>
      <c r="F116" s="167">
        <f t="shared" si="82"/>
        <v>1.974823720962676</v>
      </c>
      <c r="G116" s="167">
        <f t="shared" si="82"/>
        <v>2.3332069597891794</v>
      </c>
      <c r="H116" s="167">
        <f t="shared" si="82"/>
        <v>2.8018668459963241</v>
      </c>
      <c r="I116" s="167">
        <f t="shared" si="82"/>
        <v>4.2827349086882522</v>
      </c>
      <c r="J116" s="167">
        <f t="shared" si="82"/>
        <v>7.106877513711968</v>
      </c>
      <c r="K116" s="167">
        <f t="shared" si="82"/>
        <v>3.8136722646130727</v>
      </c>
      <c r="L116" s="167">
        <f t="shared" si="82"/>
        <v>3.8998584679717432</v>
      </c>
      <c r="M116" s="167">
        <f t="shared" si="82"/>
        <v>3.9888687607274109</v>
      </c>
      <c r="N116" s="167">
        <f t="shared" si="82"/>
        <v>14.596121565415679</v>
      </c>
    </row>
    <row r="117" spans="1:14" x14ac:dyDescent="0.25">
      <c r="A117" s="166"/>
      <c r="B117" s="169" t="s">
        <v>166</v>
      </c>
      <c r="C117" s="167">
        <f t="shared" ref="C117:N117" si="83">C116-C114</f>
        <v>6.3722567397599961E-2</v>
      </c>
      <c r="D117" s="167">
        <f t="shared" si="83"/>
        <v>6.4251524681153249E-2</v>
      </c>
      <c r="E117" s="167">
        <f t="shared" si="83"/>
        <v>7.791897966472483E-2</v>
      </c>
      <c r="F117" s="167">
        <f t="shared" si="83"/>
        <v>8.8099744990080664E-2</v>
      </c>
      <c r="G117" s="167">
        <f t="shared" si="83"/>
        <v>7.9367165985513743E-2</v>
      </c>
      <c r="H117" s="167">
        <f t="shared" si="83"/>
        <v>2.8910761416047315E-2</v>
      </c>
      <c r="I117" s="167">
        <f t="shared" si="83"/>
        <v>-0.31755505238763071</v>
      </c>
      <c r="J117" s="167">
        <f t="shared" si="83"/>
        <v>-1.2415073558377969</v>
      </c>
      <c r="K117" s="167">
        <f t="shared" si="83"/>
        <v>-0.18792573981976579</v>
      </c>
      <c r="L117" s="167">
        <f t="shared" si="83"/>
        <v>-0.21079582315873058</v>
      </c>
      <c r="M117" s="167">
        <f t="shared" si="83"/>
        <v>-0.23490502321062934</v>
      </c>
      <c r="N117" s="167">
        <f t="shared" si="83"/>
        <v>-15.426372149064481</v>
      </c>
    </row>
  </sheetData>
  <sheetProtection password="CC7C" sheet="1" objects="1" scenarios="1"/>
  <phoneticPr fontId="2" type="noConversion"/>
  <dataValidations count="1">
    <dataValidation type="whole" allowBlank="1" showInputMessage="1" showErrorMessage="1" error="Value to be either 1 or 2" sqref="K14">
      <formula1>1</formula1>
      <formula2>3</formula2>
    </dataValidation>
  </dataValidations>
  <pageMargins left="0.75" right="0.75" top="1" bottom="1" header="0" footer="0"/>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O120"/>
  <sheetViews>
    <sheetView topLeftCell="A10" workbookViewId="0">
      <selection activeCell="Q37" sqref="Q37"/>
    </sheetView>
  </sheetViews>
  <sheetFormatPr defaultRowHeight="13.2" x14ac:dyDescent="0.25"/>
  <cols>
    <col min="1" max="1" width="27.44140625" customWidth="1"/>
    <col min="2" max="14" width="7.77734375" customWidth="1"/>
  </cols>
  <sheetData>
    <row r="1" spans="1:14" ht="21.6" thickBot="1" x14ac:dyDescent="0.45">
      <c r="A1" s="4" t="s">
        <v>370</v>
      </c>
      <c r="B1" s="5"/>
      <c r="C1" s="5"/>
      <c r="D1" s="5"/>
      <c r="E1" s="6"/>
      <c r="F1" s="5"/>
      <c r="G1" s="7"/>
      <c r="H1" s="80"/>
      <c r="I1" s="9"/>
      <c r="J1" s="8"/>
      <c r="K1" s="22"/>
      <c r="L1" s="8"/>
      <c r="M1" s="8"/>
      <c r="N1" s="230"/>
    </row>
    <row r="2" spans="1:14" ht="13.8" thickTop="1" x14ac:dyDescent="0.25">
      <c r="A2" s="10" t="s">
        <v>8</v>
      </c>
      <c r="B2" s="11"/>
      <c r="C2" s="11"/>
      <c r="D2" s="60"/>
      <c r="E2" s="98"/>
      <c r="F2" s="98"/>
      <c r="G2" s="11"/>
      <c r="H2" s="11"/>
      <c r="I2" s="12"/>
      <c r="J2" s="13" t="s">
        <v>9</v>
      </c>
      <c r="K2" s="14"/>
      <c r="L2" s="11"/>
      <c r="M2" s="11"/>
      <c r="N2" s="202"/>
    </row>
    <row r="3" spans="1:14" x14ac:dyDescent="0.25">
      <c r="A3" s="15" t="s">
        <v>10</v>
      </c>
      <c r="B3" s="16" t="s">
        <v>11</v>
      </c>
      <c r="C3" s="17">
        <v>1.0249999999999999</v>
      </c>
      <c r="D3" s="101"/>
      <c r="E3" s="79"/>
      <c r="F3" s="102"/>
      <c r="G3" s="18" t="s">
        <v>12</v>
      </c>
      <c r="H3" s="18"/>
      <c r="I3" s="18"/>
      <c r="J3" s="70">
        <v>1</v>
      </c>
      <c r="K3" s="23">
        <f>IF(J3=1,IF(C17=1,0.7*C73-0.45+0.08*C13,IF(C16=1,C74,G73)),J3)</f>
        <v>0.26598122732039658</v>
      </c>
      <c r="L3" s="461"/>
      <c r="M3" s="111"/>
      <c r="N3" s="206"/>
    </row>
    <row r="4" spans="1:14" x14ac:dyDescent="0.25">
      <c r="A4" s="15" t="s">
        <v>13</v>
      </c>
      <c r="B4" s="16" t="s">
        <v>14</v>
      </c>
      <c r="C4" s="20">
        <f>'Ship data'!D6</f>
        <v>69.39316773984396</v>
      </c>
      <c r="D4" s="103"/>
      <c r="E4" s="79"/>
      <c r="F4" s="102"/>
      <c r="G4" s="18" t="s">
        <v>15</v>
      </c>
      <c r="H4" s="18"/>
      <c r="I4" s="18"/>
      <c r="J4" s="71">
        <v>1</v>
      </c>
      <c r="K4" s="19">
        <f>IF(J4=1,IF(C17=1,E73-0.26+0.04*C13,IF(C16=1,E74,G74)),J4)</f>
        <v>0.23407532729681535</v>
      </c>
      <c r="L4" s="111"/>
      <c r="M4" s="111"/>
      <c r="N4" s="206"/>
    </row>
    <row r="5" spans="1:14" x14ac:dyDescent="0.25">
      <c r="A5" s="15" t="s">
        <v>16</v>
      </c>
      <c r="B5" s="16" t="s">
        <v>14</v>
      </c>
      <c r="C5" s="20">
        <f>'Ship data'!D7</f>
        <v>12.098035159762397</v>
      </c>
      <c r="D5" s="103"/>
      <c r="E5" s="79"/>
      <c r="F5" s="102"/>
      <c r="G5" s="18" t="s">
        <v>17</v>
      </c>
      <c r="H5" s="18"/>
      <c r="I5" s="18"/>
      <c r="J5" s="22"/>
      <c r="K5" s="19">
        <f>(1-K4)/(1-K3)</f>
        <v>1.0434674169260083</v>
      </c>
      <c r="L5" s="111"/>
      <c r="M5" s="111"/>
      <c r="N5" s="206"/>
    </row>
    <row r="6" spans="1:14" x14ac:dyDescent="0.25">
      <c r="A6" s="15" t="s">
        <v>18</v>
      </c>
      <c r="B6" s="16" t="s">
        <v>14</v>
      </c>
      <c r="C6" s="20">
        <f>'Ship data'!D95</f>
        <v>3.7282593146415111</v>
      </c>
      <c r="D6" s="104"/>
      <c r="E6" s="105"/>
      <c r="F6" s="102"/>
      <c r="G6" s="18" t="s">
        <v>19</v>
      </c>
      <c r="H6" s="18"/>
      <c r="I6" s="18"/>
      <c r="J6" s="22"/>
      <c r="K6" s="19">
        <f>'Ship data'!C49/100</f>
        <v>0.98</v>
      </c>
      <c r="L6" s="111"/>
      <c r="M6" s="111"/>
      <c r="N6" s="206"/>
    </row>
    <row r="7" spans="1:14" x14ac:dyDescent="0.25">
      <c r="A7" s="15" t="s">
        <v>20</v>
      </c>
      <c r="B7" s="16" t="s">
        <v>21</v>
      </c>
      <c r="C7" s="24">
        <f>'Ship data'!D94</f>
        <v>2456.4727921305375</v>
      </c>
      <c r="D7" s="103"/>
      <c r="E7" s="79"/>
      <c r="F7" s="102"/>
      <c r="G7" s="18" t="s">
        <v>22</v>
      </c>
      <c r="H7" s="18"/>
      <c r="I7" s="18"/>
      <c r="J7" s="22"/>
      <c r="K7" s="25">
        <v>1</v>
      </c>
      <c r="L7" s="111"/>
      <c r="M7" s="111"/>
      <c r="N7" s="206"/>
    </row>
    <row r="8" spans="1:14" x14ac:dyDescent="0.25">
      <c r="A8" s="15" t="s">
        <v>23</v>
      </c>
      <c r="B8" s="16" t="s">
        <v>24</v>
      </c>
      <c r="C8" s="24">
        <f>'Ship data'!D34+2*(C4+C5)*(C6-'Ship data'!D12)</f>
        <v>1111.789054047892</v>
      </c>
      <c r="D8" s="103"/>
      <c r="E8" s="79"/>
      <c r="F8" s="102"/>
      <c r="G8" s="27" t="s">
        <v>25</v>
      </c>
      <c r="H8" s="28"/>
      <c r="I8" s="28"/>
      <c r="J8" s="28"/>
      <c r="K8" s="462"/>
      <c r="L8" s="111"/>
      <c r="M8" s="111"/>
      <c r="N8" s="206"/>
    </row>
    <row r="9" spans="1:14" x14ac:dyDescent="0.25">
      <c r="A9" s="15" t="s">
        <v>26</v>
      </c>
      <c r="B9" s="16" t="s">
        <v>24</v>
      </c>
      <c r="C9" s="24">
        <f>IF(C8=0,(1.08+(C16-1)*0.05-0.009*C5/C6)*(C7/C3/C6+1.65*C4*C6),C8)</f>
        <v>1111.789054047892</v>
      </c>
      <c r="D9" s="104"/>
      <c r="E9" s="79"/>
      <c r="F9" s="102"/>
      <c r="G9" s="30" t="s">
        <v>27</v>
      </c>
      <c r="H9" s="30"/>
      <c r="I9" s="30"/>
      <c r="J9" s="31">
        <v>0.32</v>
      </c>
      <c r="K9" s="32" t="str">
        <f>IF(J9&gt;0.32,"Too high"," ")</f>
        <v xml:space="preserve"> </v>
      </c>
      <c r="L9" s="111"/>
      <c r="M9" s="111"/>
      <c r="N9" s="206"/>
    </row>
    <row r="10" spans="1:14" x14ac:dyDescent="0.25">
      <c r="A10" s="15" t="s">
        <v>4</v>
      </c>
      <c r="B10" s="16" t="s">
        <v>28</v>
      </c>
      <c r="C10" s="17">
        <f>'Ship data'!D98</f>
        <v>0.99397856072700974</v>
      </c>
      <c r="D10" s="103"/>
      <c r="E10" s="79"/>
      <c r="F10" s="102"/>
      <c r="G10" s="33" t="s">
        <v>29</v>
      </c>
      <c r="H10" s="33"/>
      <c r="I10" s="33"/>
      <c r="J10" s="21">
        <v>1</v>
      </c>
      <c r="K10" s="34" t="str">
        <f>IF(J10&lt;0.9,"Too low"," ")</f>
        <v xml:space="preserve"> </v>
      </c>
      <c r="L10" s="111"/>
      <c r="M10" s="111"/>
      <c r="N10" s="206"/>
    </row>
    <row r="11" spans="1:14" x14ac:dyDescent="0.25">
      <c r="A11" s="15" t="s">
        <v>30</v>
      </c>
      <c r="B11" s="16" t="s">
        <v>28</v>
      </c>
      <c r="C11" s="17">
        <f>C7/C3/C4/C5/C6</f>
        <v>0.76568550532844493</v>
      </c>
      <c r="D11" s="103"/>
      <c r="E11" s="79"/>
      <c r="F11" s="102"/>
      <c r="G11" s="63" t="s">
        <v>124</v>
      </c>
      <c r="H11" s="63"/>
      <c r="I11" s="464"/>
      <c r="J11" s="465"/>
      <c r="K11" s="236">
        <f>'Ship data'!D100</f>
        <v>0</v>
      </c>
      <c r="L11" s="111"/>
      <c r="M11" s="111"/>
      <c r="N11" s="206"/>
    </row>
    <row r="12" spans="1:14" x14ac:dyDescent="0.25">
      <c r="A12" s="15" t="s">
        <v>31</v>
      </c>
      <c r="B12" s="16" t="s">
        <v>28</v>
      </c>
      <c r="C12" s="17">
        <f>C11/C10</f>
        <v>0.77032396430000649</v>
      </c>
      <c r="D12" s="106"/>
      <c r="E12" s="78"/>
      <c r="F12" s="102"/>
      <c r="G12" s="66" t="s">
        <v>125</v>
      </c>
      <c r="H12" s="65"/>
      <c r="I12" s="467"/>
      <c r="J12" s="468"/>
      <c r="K12" s="469">
        <v>15</v>
      </c>
      <c r="L12" s="111"/>
      <c r="M12" s="111"/>
      <c r="N12" s="206"/>
    </row>
    <row r="13" spans="1:14" x14ac:dyDescent="0.25">
      <c r="A13" s="15" t="s">
        <v>32</v>
      </c>
      <c r="B13" s="16" t="s">
        <v>28</v>
      </c>
      <c r="C13" s="20">
        <f>C4/(C7/C3)^(1/3)</f>
        <v>5.1854607201752598</v>
      </c>
      <c r="D13" s="106" t="str">
        <f>IF(OR(C13&lt;4,C13&gt;9)," Warning: Length-displ. ratio out of range !","")</f>
        <v/>
      </c>
      <c r="E13" s="78"/>
      <c r="F13" s="102"/>
      <c r="G13" s="66" t="s">
        <v>126</v>
      </c>
      <c r="H13" s="66"/>
      <c r="I13" s="467"/>
      <c r="J13" s="468"/>
      <c r="K13" s="469">
        <v>1</v>
      </c>
      <c r="L13" s="111"/>
      <c r="M13" s="111"/>
      <c r="N13" s="206"/>
    </row>
    <row r="14" spans="1:14" x14ac:dyDescent="0.25">
      <c r="A14" s="15" t="s">
        <v>33</v>
      </c>
      <c r="B14" s="16" t="s">
        <v>28</v>
      </c>
      <c r="C14" s="36">
        <v>0</v>
      </c>
      <c r="D14" s="106"/>
      <c r="E14" s="78"/>
      <c r="F14" s="102"/>
      <c r="G14" s="66" t="s">
        <v>130</v>
      </c>
      <c r="H14" s="66"/>
      <c r="I14" s="467"/>
      <c r="J14" s="468"/>
      <c r="K14" s="236">
        <f>'Ship data'!D68</f>
        <v>1</v>
      </c>
      <c r="L14" s="574"/>
      <c r="M14" s="575" t="s">
        <v>262</v>
      </c>
      <c r="N14" s="576">
        <f>'Ship data'!D40</f>
        <v>0.85</v>
      </c>
    </row>
    <row r="15" spans="1:14" x14ac:dyDescent="0.25">
      <c r="A15" s="15" t="s">
        <v>34</v>
      </c>
      <c r="B15" s="16" t="s">
        <v>28</v>
      </c>
      <c r="C15" s="36">
        <v>0</v>
      </c>
      <c r="D15" s="107"/>
      <c r="E15" s="108"/>
      <c r="F15" s="79"/>
      <c r="G15" s="406" t="s">
        <v>397</v>
      </c>
      <c r="H15" s="407"/>
      <c r="I15" s="407"/>
      <c r="J15" s="407"/>
      <c r="K15" s="470">
        <f>'Ship data'!D50</f>
        <v>0</v>
      </c>
      <c r="L15" s="574"/>
      <c r="M15" s="577" t="s">
        <v>487</v>
      </c>
      <c r="N15" s="578">
        <f>'Ship data'!D104</f>
        <v>166.82809134163446</v>
      </c>
    </row>
    <row r="16" spans="1:14" x14ac:dyDescent="0.25">
      <c r="A16" s="15" t="s">
        <v>35</v>
      </c>
      <c r="B16" s="16" t="s">
        <v>28</v>
      </c>
      <c r="C16" s="26">
        <v>1</v>
      </c>
      <c r="D16" s="109" t="str">
        <f>IF(OR(C4/C5&lt;3.5,C4/C5&gt;10)," Warning: L/B out of range !","")</f>
        <v/>
      </c>
      <c r="E16" s="110"/>
      <c r="F16" s="110"/>
      <c r="G16" s="110"/>
      <c r="H16" s="110"/>
      <c r="I16" s="473"/>
      <c r="J16" s="472"/>
      <c r="K16" s="108"/>
      <c r="L16" s="579" t="s">
        <v>488</v>
      </c>
      <c r="M16" s="580"/>
      <c r="N16" s="581">
        <f>'Ship data'!D101</f>
        <v>4</v>
      </c>
    </row>
    <row r="17" spans="1:15" x14ac:dyDescent="0.25">
      <c r="A17" s="15" t="s">
        <v>36</v>
      </c>
      <c r="B17" s="16" t="s">
        <v>28</v>
      </c>
      <c r="C17" s="26">
        <v>1</v>
      </c>
      <c r="D17" s="109" t="str">
        <f>IF(C5/C6&gt;6.5,"  Warning: B/T out of range !","")</f>
        <v/>
      </c>
      <c r="E17" s="110"/>
      <c r="F17" s="110"/>
      <c r="G17" s="110"/>
      <c r="H17" s="110"/>
      <c r="I17" s="473"/>
      <c r="J17" s="472"/>
      <c r="K17" s="108"/>
      <c r="L17" s="582" t="s">
        <v>261</v>
      </c>
      <c r="M17" s="583"/>
      <c r="N17" s="584">
        <f>IF(N16=0,0,MAX(0,0.18+0.464*N16+0.4034113*N16^2-0.0285278*N16^3+0.00097424*N16^4))</f>
        <v>6.9142070400000009</v>
      </c>
    </row>
    <row r="18" spans="1:15" x14ac:dyDescent="0.25">
      <c r="A18" s="15" t="s">
        <v>37</v>
      </c>
      <c r="B18" s="16" t="s">
        <v>14</v>
      </c>
      <c r="C18" s="821">
        <f>'Ship data'!D70</f>
        <v>3.0735094775088392</v>
      </c>
      <c r="D18" s="590">
        <f>C18/C6</f>
        <v>0.82438189463877753</v>
      </c>
      <c r="E18" s="591" t="s">
        <v>163</v>
      </c>
      <c r="F18" s="110"/>
      <c r="G18" s="110"/>
      <c r="H18" s="587"/>
      <c r="I18" s="588" t="s">
        <v>167</v>
      </c>
      <c r="J18" s="822">
        <f>'Ship data'!D99</f>
        <v>8.6999999999999993</v>
      </c>
      <c r="K18" s="108"/>
      <c r="L18" s="582" t="s">
        <v>489</v>
      </c>
      <c r="M18" s="585"/>
      <c r="N18" s="586">
        <f>MAX(0,0.01666667*N16^3-0.23571429*N16^2+1.8333*N16-3.6)</f>
        <v>1.0284382399999994</v>
      </c>
    </row>
    <row r="19" spans="1:15" ht="13.8" thickBot="1" x14ac:dyDescent="0.3">
      <c r="A19" s="18" t="s">
        <v>38</v>
      </c>
      <c r="B19" s="37" t="s">
        <v>28</v>
      </c>
      <c r="C19" s="24">
        <v>4</v>
      </c>
      <c r="D19" s="111"/>
      <c r="E19" s="108"/>
      <c r="F19" s="108"/>
      <c r="G19" s="78"/>
      <c r="H19" s="111"/>
      <c r="I19" s="111"/>
      <c r="J19" s="78"/>
      <c r="K19" s="111"/>
      <c r="L19" s="111"/>
      <c r="M19" s="111"/>
      <c r="N19" s="206"/>
    </row>
    <row r="20" spans="1:15" ht="14.4" thickTop="1" thickBot="1" x14ac:dyDescent="0.3">
      <c r="A20" s="10" t="s">
        <v>39</v>
      </c>
      <c r="B20" s="38"/>
      <c r="C20" s="11"/>
      <c r="D20" s="11"/>
      <c r="E20" s="11"/>
      <c r="F20" s="11"/>
      <c r="G20" s="11"/>
      <c r="H20" s="11"/>
      <c r="I20" s="11"/>
      <c r="J20" s="11"/>
      <c r="K20" s="11"/>
      <c r="L20" s="11"/>
      <c r="M20" s="11"/>
      <c r="N20" s="202"/>
    </row>
    <row r="21" spans="1:15" x14ac:dyDescent="0.25">
      <c r="A21" s="39" t="s">
        <v>40</v>
      </c>
      <c r="B21" s="55" t="s">
        <v>41</v>
      </c>
      <c r="C21" s="611">
        <f>(C22*(9.81*C4)^0.5)/0.5144</f>
        <v>6.0865773619557171</v>
      </c>
      <c r="D21" s="846">
        <f>E21-1</f>
        <v>2.6999999999999993</v>
      </c>
      <c r="E21" s="811">
        <f>F21-1</f>
        <v>3.6999999999999993</v>
      </c>
      <c r="F21" s="811">
        <f>G21-1</f>
        <v>4.6999999999999993</v>
      </c>
      <c r="G21" s="811">
        <f>H21-1</f>
        <v>5.6999999999999993</v>
      </c>
      <c r="H21" s="811">
        <f>I21-1</f>
        <v>6.6999999999999993</v>
      </c>
      <c r="I21" s="811">
        <f>K21-1</f>
        <v>7.6999999999999993</v>
      </c>
      <c r="J21" s="812">
        <f>K21-0.01</f>
        <v>8.69</v>
      </c>
      <c r="K21" s="812">
        <f>J18</f>
        <v>8.6999999999999993</v>
      </c>
      <c r="L21" s="812">
        <f>K21+0.01</f>
        <v>8.7099999999999991</v>
      </c>
      <c r="M21" s="251">
        <f>L21+0.5</f>
        <v>9.2099999999999991</v>
      </c>
      <c r="N21" s="623">
        <f>N22*SQRT(9.81*C4)/0.5144</f>
        <v>16.230872965215244</v>
      </c>
    </row>
    <row r="22" spans="1:15" x14ac:dyDescent="0.25">
      <c r="A22" s="15" t="s">
        <v>42</v>
      </c>
      <c r="B22" s="802" t="s">
        <v>28</v>
      </c>
      <c r="C22" s="612">
        <v>0.12</v>
      </c>
      <c r="D22" s="19">
        <f t="shared" ref="D22:M22" si="0">D21*0.5144/SQRT(9.81*$C4)</f>
        <v>5.323188727135366E-2</v>
      </c>
      <c r="E22" s="19">
        <f t="shared" si="0"/>
        <v>7.2947401075558735E-2</v>
      </c>
      <c r="F22" s="19">
        <f t="shared" si="0"/>
        <v>9.2662914879763802E-2</v>
      </c>
      <c r="G22" s="19">
        <f t="shared" si="0"/>
        <v>0.11237842868396887</v>
      </c>
      <c r="H22" s="19">
        <f t="shared" si="0"/>
        <v>0.13209394248817394</v>
      </c>
      <c r="I22" s="19">
        <f t="shared" si="0"/>
        <v>0.15180945629237902</v>
      </c>
      <c r="J22" s="813">
        <f t="shared" si="0"/>
        <v>0.17132781495854202</v>
      </c>
      <c r="K22" s="813">
        <f t="shared" si="0"/>
        <v>0.17152497009658407</v>
      </c>
      <c r="L22" s="813">
        <f t="shared" si="0"/>
        <v>0.17172212523462613</v>
      </c>
      <c r="M22" s="238">
        <f t="shared" si="0"/>
        <v>0.18157988213672865</v>
      </c>
      <c r="N22" s="353">
        <f>J9</f>
        <v>0.32</v>
      </c>
    </row>
    <row r="23" spans="1:15" x14ac:dyDescent="0.25">
      <c r="A23" s="15" t="s">
        <v>43</v>
      </c>
      <c r="B23" s="802" t="s">
        <v>28</v>
      </c>
      <c r="C23" s="612">
        <f t="shared" ref="C23:N23" si="1">75/(LOG10(C21*0.5144*$C4*1000000/((43.4233-31.38*$C3)*($K12+20)^(1.72*$C3-2.202)+4.7478-5.779*$C3))-2)^2</f>
        <v>1.9126129181791665</v>
      </c>
      <c r="D23" s="19">
        <f t="shared" si="1"/>
        <v>2.1479597029117121</v>
      </c>
      <c r="E23" s="19">
        <f t="shared" si="1"/>
        <v>2.0518294794261012</v>
      </c>
      <c r="F23" s="19">
        <f t="shared" si="1"/>
        <v>1.9830867541888559</v>
      </c>
      <c r="G23" s="19">
        <f t="shared" si="1"/>
        <v>1.9301408782783898</v>
      </c>
      <c r="H23" s="19">
        <f t="shared" si="1"/>
        <v>1.8873913638984945</v>
      </c>
      <c r="I23" s="19">
        <f t="shared" si="1"/>
        <v>1.8517269657123241</v>
      </c>
      <c r="J23" s="813">
        <f t="shared" si="1"/>
        <v>1.821533485664651</v>
      </c>
      <c r="K23" s="813">
        <f t="shared" si="1"/>
        <v>1.8212499425080182</v>
      </c>
      <c r="L23" s="813">
        <f t="shared" si="1"/>
        <v>1.8209667911620118</v>
      </c>
      <c r="M23" s="238">
        <f t="shared" si="1"/>
        <v>1.807287733652317</v>
      </c>
      <c r="N23" s="17">
        <f t="shared" si="1"/>
        <v>1.6767381901925182</v>
      </c>
    </row>
    <row r="24" spans="1:15" x14ac:dyDescent="0.25">
      <c r="A24" s="15" t="s">
        <v>44</v>
      </c>
      <c r="B24" s="802" t="s">
        <v>28</v>
      </c>
      <c r="C24" s="612">
        <f>IF(C22&gt;0.12,C48,$C48+(C22-0.12)*2.5)</f>
        <v>0.66817570679746718</v>
      </c>
      <c r="D24" s="239">
        <f t="shared" ref="D24:M24" si="2">D48</f>
        <v>0.66817570679746718</v>
      </c>
      <c r="E24" s="239">
        <f t="shared" si="2"/>
        <v>0.66817570679746718</v>
      </c>
      <c r="F24" s="239">
        <f t="shared" si="2"/>
        <v>0.66817570679746718</v>
      </c>
      <c r="G24" s="239">
        <f t="shared" si="2"/>
        <v>0.66817570679746718</v>
      </c>
      <c r="H24" s="239">
        <f t="shared" si="2"/>
        <v>0.70797288361985444</v>
      </c>
      <c r="I24" s="239">
        <f t="shared" si="2"/>
        <v>0.7931759528599841</v>
      </c>
      <c r="J24" s="813">
        <f t="shared" si="2"/>
        <v>0.95231337147621464</v>
      </c>
      <c r="K24" s="813">
        <f t="shared" si="2"/>
        <v>0.95433633892920822</v>
      </c>
      <c r="L24" s="813">
        <f t="shared" si="2"/>
        <v>0.95636736416841761</v>
      </c>
      <c r="M24" s="240">
        <f t="shared" si="2"/>
        <v>1.0680152478733682</v>
      </c>
      <c r="N24" s="353">
        <f>N64+N65+N117</f>
        <v>18.899439531596212</v>
      </c>
      <c r="O24" s="551" t="s">
        <v>483</v>
      </c>
    </row>
    <row r="25" spans="1:15" x14ac:dyDescent="0.25">
      <c r="A25" s="15" t="s">
        <v>45</v>
      </c>
      <c r="B25" s="802" t="s">
        <v>28</v>
      </c>
      <c r="C25" s="612">
        <f t="shared" ref="C25:N25" si="3">IF($C17=1,0,0.3)</f>
        <v>0</v>
      </c>
      <c r="D25" s="19">
        <f t="shared" si="3"/>
        <v>0</v>
      </c>
      <c r="E25" s="19">
        <f t="shared" si="3"/>
        <v>0</v>
      </c>
      <c r="F25" s="19">
        <f t="shared" si="3"/>
        <v>0</v>
      </c>
      <c r="G25" s="19">
        <f t="shared" si="3"/>
        <v>0</v>
      </c>
      <c r="H25" s="19">
        <f t="shared" si="3"/>
        <v>0</v>
      </c>
      <c r="I25" s="19">
        <f t="shared" si="3"/>
        <v>0</v>
      </c>
      <c r="J25" s="813">
        <f t="shared" si="3"/>
        <v>0</v>
      </c>
      <c r="K25" s="813">
        <f t="shared" si="3"/>
        <v>0</v>
      </c>
      <c r="L25" s="813">
        <f t="shared" si="3"/>
        <v>0</v>
      </c>
      <c r="M25" s="238">
        <f t="shared" si="3"/>
        <v>0</v>
      </c>
      <c r="N25" s="17">
        <f t="shared" si="3"/>
        <v>0</v>
      </c>
    </row>
    <row r="26" spans="1:15" x14ac:dyDescent="0.25">
      <c r="A26" s="15" t="s">
        <v>46</v>
      </c>
      <c r="B26" s="802" t="s">
        <v>28</v>
      </c>
      <c r="C26" s="612">
        <f t="shared" ref="C26:N26" si="4">$K13*MAX(-0.4,-0.1-1.6*C22)</f>
        <v>-0.29200000000000004</v>
      </c>
      <c r="D26" s="239">
        <f t="shared" si="4"/>
        <v>-0.18517101963416588</v>
      </c>
      <c r="E26" s="239">
        <f t="shared" si="4"/>
        <v>-0.21671584172089398</v>
      </c>
      <c r="F26" s="239">
        <f t="shared" si="4"/>
        <v>-0.2482606638076221</v>
      </c>
      <c r="G26" s="239">
        <f t="shared" si="4"/>
        <v>-0.27980548589435017</v>
      </c>
      <c r="H26" s="239">
        <f t="shared" si="4"/>
        <v>-0.31135030798107832</v>
      </c>
      <c r="I26" s="239">
        <f t="shared" si="4"/>
        <v>-0.34289513006780648</v>
      </c>
      <c r="J26" s="813">
        <f t="shared" si="4"/>
        <v>-0.37412450393366725</v>
      </c>
      <c r="K26" s="813">
        <f t="shared" si="4"/>
        <v>-0.37443995215453452</v>
      </c>
      <c r="L26" s="813">
        <f t="shared" si="4"/>
        <v>-0.37475540037540178</v>
      </c>
      <c r="M26" s="240">
        <f t="shared" si="4"/>
        <v>-0.39052781141876591</v>
      </c>
      <c r="N26" s="351">
        <f t="shared" si="4"/>
        <v>-0.4</v>
      </c>
    </row>
    <row r="27" spans="1:15" x14ac:dyDescent="0.25">
      <c r="A27" s="15" t="s">
        <v>47</v>
      </c>
      <c r="B27" s="802" t="s">
        <v>28</v>
      </c>
      <c r="C27" s="612">
        <f>IF('Ship data'!$C3&lt;55000,0.07,IF('Ship data'!$C3&lt;170000,0.05,0.04))</f>
        <v>7.0000000000000007E-2</v>
      </c>
      <c r="D27" s="239">
        <f>IF('Ship data'!$C3&lt;55000,0.07,IF('Ship data'!$C3&lt;170000,0.05,0.04))</f>
        <v>7.0000000000000007E-2</v>
      </c>
      <c r="E27" s="239">
        <f>IF('Ship data'!$C3&lt;55000,0.07,IF('Ship data'!$C3&lt;170000,0.05,0.04))</f>
        <v>7.0000000000000007E-2</v>
      </c>
      <c r="F27" s="239">
        <f>IF('Ship data'!$C3&lt;55000,0.07,IF('Ship data'!$C3&lt;170000,0.05,0.04))</f>
        <v>7.0000000000000007E-2</v>
      </c>
      <c r="G27" s="239">
        <f>IF('Ship data'!$C3&lt;55000,0.07,IF('Ship data'!$C3&lt;170000,0.05,0.04))</f>
        <v>7.0000000000000007E-2</v>
      </c>
      <c r="H27" s="239">
        <f>IF('Ship data'!$C3&lt;55000,0.07,IF('Ship data'!$C3&lt;170000,0.05,0.04))</f>
        <v>7.0000000000000007E-2</v>
      </c>
      <c r="I27" s="239">
        <f>IF('Ship data'!$C3&lt;55000,0.07,IF('Ship data'!$C3&lt;170000,0.05,0.04))</f>
        <v>7.0000000000000007E-2</v>
      </c>
      <c r="J27" s="813">
        <f>IF('Ship data'!$C3&lt;55000,0.07,IF('Ship data'!$C3&lt;170000,0.05,0.04))</f>
        <v>7.0000000000000007E-2</v>
      </c>
      <c r="K27" s="813">
        <f>IF('Ship data'!$C3&lt;55000,0.07,IF('Ship data'!$C3&lt;170000,0.05,0.04))</f>
        <v>7.0000000000000007E-2</v>
      </c>
      <c r="L27" s="813">
        <f>IF('Ship data'!$C3&lt;55000,0.07,IF('Ship data'!$C3&lt;170000,0.05,0.04))</f>
        <v>7.0000000000000007E-2</v>
      </c>
      <c r="M27" s="240">
        <f>IF('Ship data'!$C3&lt;55000,0.07,IF('Ship data'!$C3&lt;170000,0.05,0.04))</f>
        <v>7.0000000000000007E-2</v>
      </c>
      <c r="N27" s="351">
        <f>IF('Ship data'!$C3&lt;55000,0.07,IF('Ship data'!$C3&lt;170000,0.05,0.04))</f>
        <v>7.0000000000000007E-2</v>
      </c>
    </row>
    <row r="28" spans="1:15" x14ac:dyDescent="0.25">
      <c r="A28" s="15" t="s">
        <v>48</v>
      </c>
      <c r="B28" s="802" t="s">
        <v>28</v>
      </c>
      <c r="C28" s="612">
        <f>MAX(0.5*LOG10($C7)-0.1*(LOG10($C7))^2,'PS1'!$K19)</f>
        <v>0.54573446169865503</v>
      </c>
      <c r="D28" s="19">
        <f>MAX(0.5*LOG10($C7)-0.1*(LOG10($C7))^2,'PS1'!$K19)</f>
        <v>0.54573446169865503</v>
      </c>
      <c r="E28" s="19">
        <f>MAX(0.5*LOG10($C7)-0.1*(LOG10($C7))^2,'PS1'!$K19)</f>
        <v>0.54573446169865503</v>
      </c>
      <c r="F28" s="19">
        <f>MAX(0.5*LOG10($C7)-0.1*(LOG10($C7))^2,'PS1'!$K19)</f>
        <v>0.54573446169865503</v>
      </c>
      <c r="G28" s="19">
        <f>MAX(0.5*LOG10($C7)-0.1*(LOG10($C7))^2,'PS1'!$K19)</f>
        <v>0.54573446169865503</v>
      </c>
      <c r="H28" s="19">
        <f>MAX(0.5*LOG10($C7)-0.1*(LOG10($C7))^2,'PS1'!$K19)</f>
        <v>0.54573446169865503</v>
      </c>
      <c r="I28" s="19">
        <f>MAX(0.5*LOG10($C7)-0.1*(LOG10($C7))^2,'PS1'!$K19)</f>
        <v>0.54573446169865503</v>
      </c>
      <c r="J28" s="813">
        <f>MAX(0.5*LOG10($C7)-0.1*(LOG10($C7))^2,'PS1'!$K19)</f>
        <v>0.54573446169865503</v>
      </c>
      <c r="K28" s="813">
        <f>MAX(0.5*LOG10($C7)-0.1*(LOG10($C7))^2,'PS1'!$K19)</f>
        <v>0.54573446169865503</v>
      </c>
      <c r="L28" s="813">
        <f>MAX(0.5*LOG10($C7)-0.1*(LOG10($C7))^2,'PS1'!$K19)</f>
        <v>0.54573446169865503</v>
      </c>
      <c r="M28" s="238">
        <f>MAX(0.5*LOG10($C7)-0.1*(LOG10($C7))^2,'PS1'!$K19)</f>
        <v>0.54573446169865503</v>
      </c>
      <c r="N28" s="351">
        <f>MAX(0.5*LOG10($C7)-0.1*(LOG10($C7))^2,'PS1'!$K19)</f>
        <v>0.54573446169865503</v>
      </c>
    </row>
    <row r="29" spans="1:15" x14ac:dyDescent="0.25">
      <c r="A29" s="15" t="s">
        <v>49</v>
      </c>
      <c r="B29" s="802" t="s">
        <v>28</v>
      </c>
      <c r="C29" s="612">
        <f t="shared" ref="C29:N29" si="5">C23+C24+C25+C26+C27+C28</f>
        <v>2.9045230866752885</v>
      </c>
      <c r="D29" s="19">
        <f t="shared" si="5"/>
        <v>3.2466988517736688</v>
      </c>
      <c r="E29" s="19">
        <f t="shared" si="5"/>
        <v>3.1190238062013291</v>
      </c>
      <c r="F29" s="19">
        <f t="shared" si="5"/>
        <v>3.0187362588773556</v>
      </c>
      <c r="G29" s="19">
        <f t="shared" si="5"/>
        <v>2.9342455608801616</v>
      </c>
      <c r="H29" s="19">
        <f t="shared" si="5"/>
        <v>2.8997484012359251</v>
      </c>
      <c r="I29" s="19">
        <f t="shared" si="5"/>
        <v>2.9177422502031565</v>
      </c>
      <c r="J29" s="813">
        <f t="shared" si="5"/>
        <v>3.0154568149058534</v>
      </c>
      <c r="K29" s="813">
        <f t="shared" si="5"/>
        <v>3.0168807909813466</v>
      </c>
      <c r="L29" s="813">
        <f t="shared" si="5"/>
        <v>3.0183132166536826</v>
      </c>
      <c r="M29" s="238">
        <f t="shared" si="5"/>
        <v>3.1005096318055738</v>
      </c>
      <c r="N29" s="353">
        <f t="shared" si="5"/>
        <v>20.791912183487387</v>
      </c>
    </row>
    <row r="30" spans="1:15" x14ac:dyDescent="0.25">
      <c r="A30" s="15" t="s">
        <v>50</v>
      </c>
      <c r="B30" s="802" t="s">
        <v>51</v>
      </c>
      <c r="C30" s="613">
        <f t="shared" ref="C30:N30" si="6">$K11</f>
        <v>0</v>
      </c>
      <c r="D30" s="241">
        <f t="shared" si="6"/>
        <v>0</v>
      </c>
      <c r="E30" s="241">
        <f t="shared" si="6"/>
        <v>0</v>
      </c>
      <c r="F30" s="241">
        <f t="shared" si="6"/>
        <v>0</v>
      </c>
      <c r="G30" s="241">
        <f t="shared" si="6"/>
        <v>0</v>
      </c>
      <c r="H30" s="241">
        <f t="shared" si="6"/>
        <v>0</v>
      </c>
      <c r="I30" s="241">
        <f t="shared" si="6"/>
        <v>0</v>
      </c>
      <c r="J30" s="814">
        <f t="shared" si="6"/>
        <v>0</v>
      </c>
      <c r="K30" s="814">
        <f t="shared" si="6"/>
        <v>0</v>
      </c>
      <c r="L30" s="814">
        <f t="shared" si="6"/>
        <v>0</v>
      </c>
      <c r="M30" s="242">
        <f t="shared" si="6"/>
        <v>0</v>
      </c>
      <c r="N30" s="24">
        <f t="shared" si="6"/>
        <v>0</v>
      </c>
    </row>
    <row r="31" spans="1:15" x14ac:dyDescent="0.25">
      <c r="A31" s="733" t="s">
        <v>263</v>
      </c>
      <c r="B31" s="734" t="s">
        <v>53</v>
      </c>
      <c r="C31" s="831">
        <f>0.00062*$N14*$N15*((C21*0.5144+$N17)^2-(C21*0.5144)^2)</f>
        <v>8.009553891141767</v>
      </c>
      <c r="D31" s="736">
        <f t="shared" ref="D31:M31" si="7">0.00062*$N14*$N15*((D21*0.5144+$N17)^2-(D21*0.5144)^2)</f>
        <v>5.891611549335189</v>
      </c>
      <c r="E31" s="736">
        <f t="shared" si="7"/>
        <v>6.5170047163713853</v>
      </c>
      <c r="F31" s="736">
        <f t="shared" si="7"/>
        <v>7.1423978834075825</v>
      </c>
      <c r="G31" s="736">
        <f t="shared" si="7"/>
        <v>7.7677910504437806</v>
      </c>
      <c r="H31" s="736">
        <f t="shared" si="7"/>
        <v>8.3931842174799787</v>
      </c>
      <c r="I31" s="736">
        <f t="shared" si="7"/>
        <v>9.0185773845161759</v>
      </c>
      <c r="J31" s="736">
        <f t="shared" si="7"/>
        <v>9.6377166198820134</v>
      </c>
      <c r="K31" s="736">
        <f t="shared" si="7"/>
        <v>9.6439705515523748</v>
      </c>
      <c r="L31" s="736">
        <f t="shared" si="7"/>
        <v>9.650224483222738</v>
      </c>
      <c r="M31" s="815">
        <f t="shared" si="7"/>
        <v>9.9629210667408383</v>
      </c>
      <c r="N31" s="804"/>
    </row>
    <row r="32" spans="1:15" x14ac:dyDescent="0.25">
      <c r="A32" s="733" t="s">
        <v>485</v>
      </c>
      <c r="B32" s="734" t="s">
        <v>53</v>
      </c>
      <c r="C32" s="831">
        <f>1336*(5.3+C21*0.5144)*($C5*$C6/$C4*1.02)^0.75*$N18^2/1000</f>
        <v>8.7532022206188298</v>
      </c>
      <c r="D32" s="736">
        <f t="shared" ref="D32:M32" si="8">1336*(5.3+D21*0.5144)*($C5*$C6/$C4*1.02)^0.75*$N18^2/1000</f>
        <v>6.9445579317622297</v>
      </c>
      <c r="E32" s="736">
        <f t="shared" si="8"/>
        <v>7.4786205252156179</v>
      </c>
      <c r="F32" s="736">
        <f t="shared" si="8"/>
        <v>8.0126831186690044</v>
      </c>
      <c r="G32" s="736">
        <f t="shared" si="8"/>
        <v>8.5467457121223926</v>
      </c>
      <c r="H32" s="736">
        <f t="shared" si="8"/>
        <v>9.0808083055757756</v>
      </c>
      <c r="I32" s="736">
        <f t="shared" si="8"/>
        <v>9.6148708990291674</v>
      </c>
      <c r="J32" s="736">
        <f t="shared" si="8"/>
        <v>10.143592866548019</v>
      </c>
      <c r="K32" s="736">
        <f t="shared" si="8"/>
        <v>10.14893349248255</v>
      </c>
      <c r="L32" s="736">
        <f t="shared" si="8"/>
        <v>10.154274118417087</v>
      </c>
      <c r="M32" s="815">
        <f t="shared" si="8"/>
        <v>10.421305415143779</v>
      </c>
      <c r="N32" s="739"/>
    </row>
    <row r="33" spans="1:14" x14ac:dyDescent="0.25">
      <c r="A33" s="733" t="s">
        <v>486</v>
      </c>
      <c r="B33" s="734" t="s">
        <v>53</v>
      </c>
      <c r="C33" s="831">
        <f>C31+C32</f>
        <v>16.762756111760595</v>
      </c>
      <c r="D33" s="736">
        <f t="shared" ref="D33:M33" si="9">D31+D32</f>
        <v>12.836169481097418</v>
      </c>
      <c r="E33" s="736">
        <f t="shared" si="9"/>
        <v>13.995625241587003</v>
      </c>
      <c r="F33" s="736">
        <f t="shared" si="9"/>
        <v>15.155081002076587</v>
      </c>
      <c r="G33" s="736">
        <f t="shared" si="9"/>
        <v>16.314536762566174</v>
      </c>
      <c r="H33" s="736">
        <f t="shared" si="9"/>
        <v>17.473992523055756</v>
      </c>
      <c r="I33" s="736">
        <f t="shared" si="9"/>
        <v>18.633448283545341</v>
      </c>
      <c r="J33" s="736">
        <f t="shared" si="9"/>
        <v>19.781309486430033</v>
      </c>
      <c r="K33" s="736">
        <f t="shared" si="9"/>
        <v>19.792904044034927</v>
      </c>
      <c r="L33" s="736">
        <f t="shared" si="9"/>
        <v>19.804498601639825</v>
      </c>
      <c r="M33" s="815">
        <f t="shared" si="9"/>
        <v>20.384226481884617</v>
      </c>
      <c r="N33" s="738"/>
    </row>
    <row r="34" spans="1:14" x14ac:dyDescent="0.25">
      <c r="A34" s="733" t="s">
        <v>486</v>
      </c>
      <c r="B34" s="734" t="s">
        <v>51</v>
      </c>
      <c r="C34" s="832">
        <f>C33*100/(C35-C33)</f>
        <v>103.32804136993212</v>
      </c>
      <c r="D34" s="741">
        <f t="shared" ref="D34:M34" si="10">D33*100/(D35-D33)</f>
        <v>359.71603967645814</v>
      </c>
      <c r="E34" s="741">
        <f t="shared" si="10"/>
        <v>217.40226463248317</v>
      </c>
      <c r="F34" s="741">
        <f t="shared" si="10"/>
        <v>150.74095812083226</v>
      </c>
      <c r="G34" s="741">
        <f t="shared" si="10"/>
        <v>113.50695567287558</v>
      </c>
      <c r="H34" s="741">
        <f t="shared" si="10"/>
        <v>89.038148184374819</v>
      </c>
      <c r="I34" s="741">
        <f t="shared" si="10"/>
        <v>71.442847230249214</v>
      </c>
      <c r="J34" s="741">
        <f t="shared" si="10"/>
        <v>57.617746445077991</v>
      </c>
      <c r="K34" s="741">
        <f t="shared" si="10"/>
        <v>57.491913124161663</v>
      </c>
      <c r="L34" s="741">
        <f t="shared" si="10"/>
        <v>57.366338698191292</v>
      </c>
      <c r="M34" s="816">
        <f t="shared" si="10"/>
        <v>51.408601213630945</v>
      </c>
      <c r="N34" s="743"/>
    </row>
    <row r="35" spans="1:14" x14ac:dyDescent="0.25">
      <c r="A35" s="744" t="s">
        <v>301</v>
      </c>
      <c r="B35" s="803" t="s">
        <v>53</v>
      </c>
      <c r="C35" s="830">
        <f>$C9*$C3*C29*C21^2*0.0001323*(1+C30/100)+C33</f>
        <v>32.985608969047469</v>
      </c>
      <c r="D35" s="747">
        <f t="shared" ref="D35:N35" si="11">$C9*$C3*D29*D21^2*0.0001323*(1+D30/100)+D33</f>
        <v>16.404586806230526</v>
      </c>
      <c r="E35" s="747">
        <f t="shared" si="11"/>
        <v>20.433288283067505</v>
      </c>
      <c r="F35" s="747">
        <f t="shared" si="11"/>
        <v>25.208805743515768</v>
      </c>
      <c r="G35" s="747">
        <f t="shared" si="11"/>
        <v>30.68769712604583</v>
      </c>
      <c r="H35" s="747">
        <f t="shared" si="11"/>
        <v>37.099279974982167</v>
      </c>
      <c r="I35" s="747">
        <f t="shared" si="11"/>
        <v>44.715063177045636</v>
      </c>
      <c r="J35" s="747">
        <f t="shared" si="11"/>
        <v>54.113283065587353</v>
      </c>
      <c r="K35" s="747">
        <f t="shared" si="11"/>
        <v>54.220187758336515</v>
      </c>
      <c r="L35" s="747">
        <f t="shared" si="11"/>
        <v>54.327354776639609</v>
      </c>
      <c r="M35" s="817">
        <f t="shared" si="11"/>
        <v>60.035619440772905</v>
      </c>
      <c r="N35" s="844">
        <f t="shared" si="11"/>
        <v>825.81790164114932</v>
      </c>
    </row>
    <row r="36" spans="1:14" x14ac:dyDescent="0.25">
      <c r="A36" s="15" t="s">
        <v>55</v>
      </c>
      <c r="B36" s="16" t="s">
        <v>56</v>
      </c>
      <c r="C36" s="89">
        <f t="shared" ref="C36:N36" si="12">C35*C21*0.5144</f>
        <v>103.27581064649101</v>
      </c>
      <c r="D36" s="824">
        <f t="shared" si="12"/>
        <v>22.784002523437447</v>
      </c>
      <c r="E36" s="241">
        <f t="shared" si="12"/>
        <v>38.890268923396711</v>
      </c>
      <c r="F36" s="241">
        <f t="shared" si="12"/>
        <v>60.946825469983189</v>
      </c>
      <c r="G36" s="241">
        <f t="shared" si="12"/>
        <v>89.978782989336437</v>
      </c>
      <c r="H36" s="241">
        <f t="shared" si="12"/>
        <v>127.86192644817652</v>
      </c>
      <c r="I36" s="241">
        <f t="shared" si="12"/>
        <v>177.11099943669649</v>
      </c>
      <c r="J36" s="814">
        <f t="shared" si="12"/>
        <v>241.89373470967237</v>
      </c>
      <c r="K36" s="814">
        <f t="shared" si="12"/>
        <v>242.65052187112821</v>
      </c>
      <c r="L36" s="814">
        <f t="shared" si="12"/>
        <v>243.4095841977707</v>
      </c>
      <c r="M36" s="242">
        <f t="shared" si="12"/>
        <v>284.42619151747226</v>
      </c>
      <c r="N36" s="68">
        <f t="shared" si="12"/>
        <v>6894.886661505765</v>
      </c>
    </row>
    <row r="37" spans="1:14" x14ac:dyDescent="0.25">
      <c r="A37" s="15" t="s">
        <v>57</v>
      </c>
      <c r="B37" s="802" t="s">
        <v>28</v>
      </c>
      <c r="C37" s="612">
        <f t="shared" ref="C37:N37" si="13">$K5*$K6*$K7*C41</f>
        <v>0.57520776979494415</v>
      </c>
      <c r="D37" s="19">
        <f t="shared" si="13"/>
        <v>0.42488385045668775</v>
      </c>
      <c r="E37" s="19">
        <f t="shared" si="13"/>
        <v>0.49424205491657464</v>
      </c>
      <c r="F37" s="19">
        <f t="shared" si="13"/>
        <v>0.53741470059251628</v>
      </c>
      <c r="G37" s="19">
        <f t="shared" si="13"/>
        <v>0.56642800129783499</v>
      </c>
      <c r="H37" s="19">
        <f t="shared" si="13"/>
        <v>0.58608908964780237</v>
      </c>
      <c r="I37" s="19">
        <f t="shared" si="13"/>
        <v>0.59912899180363088</v>
      </c>
      <c r="J37" s="813">
        <f t="shared" si="13"/>
        <v>0.60625377966054972</v>
      </c>
      <c r="K37" s="813">
        <f t="shared" si="13"/>
        <v>0.60629889589350772</v>
      </c>
      <c r="L37" s="813">
        <f t="shared" si="13"/>
        <v>0.60634351222424221</v>
      </c>
      <c r="M37" s="238">
        <f t="shared" si="13"/>
        <v>0.60796015399372128</v>
      </c>
      <c r="N37" s="639">
        <f t="shared" si="13"/>
        <v>0.36707947642072541</v>
      </c>
    </row>
    <row r="38" spans="1:14" x14ac:dyDescent="0.25">
      <c r="A38" s="15" t="s">
        <v>58</v>
      </c>
      <c r="B38" s="802" t="s">
        <v>56</v>
      </c>
      <c r="C38" s="614">
        <f>C36/C37</f>
        <v>179.54522881933221</v>
      </c>
      <c r="D38" s="843">
        <f t="shared" ref="D38:I38" si="14">D36/D37</f>
        <v>53.624072788240809</v>
      </c>
      <c r="E38" s="594">
        <f t="shared" si="14"/>
        <v>78.686685069649073</v>
      </c>
      <c r="F38" s="594">
        <f t="shared" si="14"/>
        <v>113.40744010684381</v>
      </c>
      <c r="G38" s="594">
        <f t="shared" si="14"/>
        <v>158.85299240710464</v>
      </c>
      <c r="H38" s="594">
        <f t="shared" si="14"/>
        <v>218.16124665451866</v>
      </c>
      <c r="I38" s="594">
        <f t="shared" si="14"/>
        <v>295.61413628727547</v>
      </c>
      <c r="J38" s="818">
        <f>J36/J37</f>
        <v>398.99748723234711</v>
      </c>
      <c r="K38" s="818">
        <f>K36/K37</f>
        <v>400.21600486923552</v>
      </c>
      <c r="L38" s="818">
        <f>L36/L37</f>
        <v>401.4384244087554</v>
      </c>
      <c r="M38" s="246">
        <f>M36/M37</f>
        <v>467.83689629832168</v>
      </c>
      <c r="N38" s="845">
        <f>N36/N37</f>
        <v>18783.08950621702</v>
      </c>
    </row>
    <row r="39" spans="1:14" x14ac:dyDescent="0.25">
      <c r="A39" s="35" t="s">
        <v>59</v>
      </c>
      <c r="B39" s="354" t="s">
        <v>28</v>
      </c>
      <c r="C39" s="615">
        <f>2.54648*C35/(1-$K4)/$C17/$C3/(C42*$C18)^2/$K7</f>
        <v>2.1444858770955553</v>
      </c>
      <c r="D39" s="842">
        <f t="shared" ref="D39:I39" si="15">2.54648*D35/(1-$K4)/$C17/$C3/(D42*$C18)^2/$K7</f>
        <v>5.4197935603519367</v>
      </c>
      <c r="E39" s="595">
        <f t="shared" si="15"/>
        <v>3.5948418675972214</v>
      </c>
      <c r="F39" s="595">
        <f t="shared" si="15"/>
        <v>2.7485366520781764</v>
      </c>
      <c r="G39" s="595">
        <f t="shared" si="15"/>
        <v>2.2748856166206561</v>
      </c>
      <c r="H39" s="595">
        <f t="shared" si="15"/>
        <v>1.9904939065086702</v>
      </c>
      <c r="I39" s="595">
        <f t="shared" si="15"/>
        <v>1.8164246013733865</v>
      </c>
      <c r="J39" s="819">
        <f>2.54648*J35/(1-$K4)/$C17/$C3/(J42*$C18)^2/$K7</f>
        <v>1.7258748794288494</v>
      </c>
      <c r="K39" s="819">
        <f>2.54648*K35/(1-$K4)/$C17/$C3/(K42*$C18)^2/$K7</f>
        <v>1.7253113878006456</v>
      </c>
      <c r="L39" s="819">
        <f>2.54648*L35/(1-$K4)/$C17/$C3/(L42*$C18)^2/$K7</f>
        <v>1.7247542607305244</v>
      </c>
      <c r="M39" s="248">
        <f>2.54648*M35/(1-$K4)/$C17/$C3/(M42*$C18)^2/$K7</f>
        <v>1.7046479970996087</v>
      </c>
      <c r="N39" s="640">
        <f>2.54648*N35/(1-$K4)/$C17/$C3/(N42*$C18)^2/$K7</f>
        <v>7.549974984477033</v>
      </c>
    </row>
    <row r="40" spans="1:14" x14ac:dyDescent="0.25">
      <c r="A40" s="35" t="s">
        <v>60</v>
      </c>
      <c r="B40" s="609" t="s">
        <v>28</v>
      </c>
      <c r="C40" s="615">
        <f t="shared" ref="C40:N40" si="16">(1.3+0.3*$C19)*C34/(1-$K4)/$C17/(99.6+$C3*9.81*0.65*$C18)/$C18^2+C75</f>
        <v>0.49829895857222378</v>
      </c>
      <c r="D40" s="247">
        <f t="shared" si="16"/>
        <v>1.238468537626193</v>
      </c>
      <c r="E40" s="247">
        <f t="shared" si="16"/>
        <v>0.82762119818893587</v>
      </c>
      <c r="F40" s="247">
        <f t="shared" si="16"/>
        <v>0.63517587506220052</v>
      </c>
      <c r="G40" s="247">
        <f t="shared" si="16"/>
        <v>0.52768458802679996</v>
      </c>
      <c r="H40" s="247">
        <f t="shared" si="16"/>
        <v>0.45704529500863211</v>
      </c>
      <c r="I40" s="247">
        <f t="shared" si="16"/>
        <v>0.40624921022086935</v>
      </c>
      <c r="J40" s="819">
        <f t="shared" si="16"/>
        <v>0.36633736139749018</v>
      </c>
      <c r="K40" s="819">
        <f t="shared" si="16"/>
        <v>0.36597409167820222</v>
      </c>
      <c r="L40" s="819">
        <f t="shared" si="16"/>
        <v>0.36561156936583056</v>
      </c>
      <c r="M40" s="248">
        <f t="shared" si="16"/>
        <v>0.3484121057591566</v>
      </c>
      <c r="N40" s="20">
        <f t="shared" si="16"/>
        <v>0.2</v>
      </c>
    </row>
    <row r="41" spans="1:14" ht="13.8" thickBot="1" x14ac:dyDescent="0.3">
      <c r="A41" s="35" t="s">
        <v>61</v>
      </c>
      <c r="B41" s="354" t="s">
        <v>28</v>
      </c>
      <c r="C41" s="616">
        <f t="shared" ref="C41:M41" si="17">(1+$K15/100)*IF($K14=1,MAX(0.69,0.81-0.014*C39),IF(C39&lt;7,-0.000205*C39^4+0.00518*C39^3-0.0462*C39^2+0.177*C39+0.59,0.85))/(1+SQRT(1+C39))*2</f>
        <v>0.56249643673733618</v>
      </c>
      <c r="D41" s="268">
        <f t="shared" si="17"/>
        <v>0.41549447775075371</v>
      </c>
      <c r="E41" s="268">
        <f t="shared" si="17"/>
        <v>0.4833199573702206</v>
      </c>
      <c r="F41" s="268">
        <f t="shared" si="17"/>
        <v>0.52553854451812698</v>
      </c>
      <c r="G41" s="268">
        <f t="shared" si="17"/>
        <v>0.553910689544173</v>
      </c>
      <c r="H41" s="268">
        <f t="shared" si="17"/>
        <v>0.57313729377307121</v>
      </c>
      <c r="I41" s="268">
        <f t="shared" si="17"/>
        <v>0.58588903128988512</v>
      </c>
      <c r="J41" s="820">
        <f t="shared" si="17"/>
        <v>0.59285637073221387</v>
      </c>
      <c r="K41" s="820">
        <f t="shared" si="17"/>
        <v>0.59290048995592837</v>
      </c>
      <c r="L41" s="820">
        <f t="shared" si="17"/>
        <v>0.5929441203245992</v>
      </c>
      <c r="M41" s="270">
        <f t="shared" si="17"/>
        <v>0.5945250364431991</v>
      </c>
      <c r="N41" s="625">
        <f>IF($K14=1,MAX(0.69,0.81-0.014*N39),IF(N39&lt;7,-0.000205*N39^4+0.00518*N39^3-0.0462*N39^2+0.177*N39+0.59,0.85))/(1+SQRT(1+N39))*2</f>
        <v>0.35896750414145739</v>
      </c>
    </row>
    <row r="42" spans="1:14" ht="13.8" thickTop="1" x14ac:dyDescent="0.25">
      <c r="A42" s="50" t="s">
        <v>62</v>
      </c>
      <c r="B42" s="608" t="s">
        <v>63</v>
      </c>
      <c r="C42" s="833">
        <f t="shared" ref="C42:N42" si="18">C21*0.5144*(1-$K3)</f>
        <v>2.2981653559697044</v>
      </c>
      <c r="D42" s="637">
        <f t="shared" si="18"/>
        <v>1.0194639929992473</v>
      </c>
      <c r="E42" s="637">
        <f t="shared" si="18"/>
        <v>1.3970432496656353</v>
      </c>
      <c r="F42" s="637">
        <f t="shared" si="18"/>
        <v>1.7746225063320233</v>
      </c>
      <c r="G42" s="637">
        <f t="shared" si="18"/>
        <v>2.1522017629984114</v>
      </c>
      <c r="H42" s="637">
        <f t="shared" si="18"/>
        <v>2.5297810196647994</v>
      </c>
      <c r="I42" s="637">
        <f t="shared" si="18"/>
        <v>2.9073602763311874</v>
      </c>
      <c r="J42" s="637">
        <f t="shared" si="18"/>
        <v>3.2811637404309115</v>
      </c>
      <c r="K42" s="637">
        <f t="shared" si="18"/>
        <v>3.2849395329975755</v>
      </c>
      <c r="L42" s="637">
        <f t="shared" si="18"/>
        <v>3.2887153255642394</v>
      </c>
      <c r="M42" s="264">
        <f t="shared" si="18"/>
        <v>3.4775049538974332</v>
      </c>
      <c r="N42" s="808">
        <f t="shared" si="18"/>
        <v>6.1284409492525453</v>
      </c>
    </row>
    <row r="43" spans="1:14" x14ac:dyDescent="0.25">
      <c r="A43" s="35" t="s">
        <v>64</v>
      </c>
      <c r="B43" s="354" t="s">
        <v>63</v>
      </c>
      <c r="C43" s="615">
        <f t="shared" ref="C43:N43" si="19">C42*SQRT(1+C39)</f>
        <v>4.0752672817378066</v>
      </c>
      <c r="D43" s="247">
        <f t="shared" si="19"/>
        <v>2.5830476793633146</v>
      </c>
      <c r="E43" s="247">
        <f t="shared" si="19"/>
        <v>2.9946435496850845</v>
      </c>
      <c r="F43" s="247">
        <f t="shared" si="19"/>
        <v>3.4358711268333515</v>
      </c>
      <c r="G43" s="247">
        <f t="shared" si="19"/>
        <v>3.8947631356965342</v>
      </c>
      <c r="H43" s="247">
        <f t="shared" si="19"/>
        <v>4.3747615936438038</v>
      </c>
      <c r="I43" s="247">
        <f t="shared" si="19"/>
        <v>4.8791920971536378</v>
      </c>
      <c r="J43" s="247">
        <f t="shared" si="19"/>
        <v>5.4172747481893415</v>
      </c>
      <c r="K43" s="247">
        <f t="shared" si="19"/>
        <v>5.4229480645879162</v>
      </c>
      <c r="L43" s="247">
        <f t="shared" si="19"/>
        <v>5.4286263743951393</v>
      </c>
      <c r="M43" s="248">
        <f t="shared" si="19"/>
        <v>5.7190399823701723</v>
      </c>
      <c r="N43" s="809">
        <f t="shared" si="19"/>
        <v>17.919769861182505</v>
      </c>
    </row>
    <row r="44" spans="1:14" x14ac:dyDescent="0.25">
      <c r="A44" s="35" t="s">
        <v>65</v>
      </c>
      <c r="B44" s="354" t="s">
        <v>63</v>
      </c>
      <c r="C44" s="615">
        <f t="shared" ref="C44:N44" si="20">C43-C42</f>
        <v>1.7771019257681022</v>
      </c>
      <c r="D44" s="247">
        <f t="shared" si="20"/>
        <v>1.5635836863640673</v>
      </c>
      <c r="E44" s="247">
        <f t="shared" si="20"/>
        <v>1.5976003000194492</v>
      </c>
      <c r="F44" s="247">
        <f t="shared" si="20"/>
        <v>1.6612486205013282</v>
      </c>
      <c r="G44" s="247">
        <f t="shared" si="20"/>
        <v>1.7425613726981228</v>
      </c>
      <c r="H44" s="247">
        <f t="shared" si="20"/>
        <v>1.8449805739790044</v>
      </c>
      <c r="I44" s="247">
        <f t="shared" si="20"/>
        <v>1.9718318208224503</v>
      </c>
      <c r="J44" s="247">
        <f t="shared" si="20"/>
        <v>2.13611100775843</v>
      </c>
      <c r="K44" s="247">
        <f t="shared" si="20"/>
        <v>2.1380085315903408</v>
      </c>
      <c r="L44" s="247">
        <f t="shared" si="20"/>
        <v>2.1399110488308999</v>
      </c>
      <c r="M44" s="248">
        <f t="shared" si="20"/>
        <v>2.2415350284727391</v>
      </c>
      <c r="N44" s="809">
        <f t="shared" si="20"/>
        <v>11.791328911929959</v>
      </c>
    </row>
    <row r="45" spans="1:14" x14ac:dyDescent="0.25">
      <c r="A45" s="35" t="s">
        <v>66</v>
      </c>
      <c r="B45" s="354" t="s">
        <v>28</v>
      </c>
      <c r="C45" s="615">
        <f t="shared" ref="C45:N45" si="21">C43/C42</f>
        <v>1.7732698263647173</v>
      </c>
      <c r="D45" s="247">
        <f t="shared" si="21"/>
        <v>2.5337311539214133</v>
      </c>
      <c r="E45" s="247">
        <f t="shared" si="21"/>
        <v>2.1435582258472059</v>
      </c>
      <c r="F45" s="247">
        <f t="shared" si="21"/>
        <v>1.9361138014275339</v>
      </c>
      <c r="G45" s="247">
        <f t="shared" si="21"/>
        <v>1.8096645038848103</v>
      </c>
      <c r="H45" s="247">
        <f t="shared" si="21"/>
        <v>1.7293044574361887</v>
      </c>
      <c r="I45" s="247">
        <f t="shared" si="21"/>
        <v>1.6782206652801608</v>
      </c>
      <c r="J45" s="247">
        <f t="shared" si="21"/>
        <v>1.65102237399402</v>
      </c>
      <c r="K45" s="247">
        <f t="shared" si="21"/>
        <v>1.6508517158729443</v>
      </c>
      <c r="L45" s="247">
        <f t="shared" si="21"/>
        <v>1.6506829679652371</v>
      </c>
      <c r="M45" s="248">
        <f t="shared" si="21"/>
        <v>1.6445814048260452</v>
      </c>
      <c r="N45" s="809">
        <f t="shared" si="21"/>
        <v>2.9240340258753883</v>
      </c>
    </row>
    <row r="46" spans="1:14" x14ac:dyDescent="0.25">
      <c r="A46" s="35" t="s">
        <v>67</v>
      </c>
      <c r="B46" s="354" t="s">
        <v>63</v>
      </c>
      <c r="C46" s="615">
        <f t="shared" ref="C46:N46" si="22">C42+0.5*C44</f>
        <v>3.1867163188537555</v>
      </c>
      <c r="D46" s="247">
        <f t="shared" si="22"/>
        <v>1.8012558361812809</v>
      </c>
      <c r="E46" s="247">
        <f t="shared" si="22"/>
        <v>2.1958433996753599</v>
      </c>
      <c r="F46" s="247">
        <f t="shared" si="22"/>
        <v>2.6052468165826874</v>
      </c>
      <c r="G46" s="247">
        <f t="shared" si="22"/>
        <v>3.0234824493474726</v>
      </c>
      <c r="H46" s="247">
        <f t="shared" si="22"/>
        <v>3.4522713066543016</v>
      </c>
      <c r="I46" s="247">
        <f t="shared" si="22"/>
        <v>3.8932761867424128</v>
      </c>
      <c r="J46" s="247">
        <f t="shared" si="22"/>
        <v>4.3492192443101265</v>
      </c>
      <c r="K46" s="247">
        <f t="shared" si="22"/>
        <v>4.3539437987927458</v>
      </c>
      <c r="L46" s="247">
        <f t="shared" si="22"/>
        <v>4.3586708499796893</v>
      </c>
      <c r="M46" s="248">
        <f t="shared" si="22"/>
        <v>4.5982724681338025</v>
      </c>
      <c r="N46" s="809">
        <f t="shared" si="22"/>
        <v>12.024105405217526</v>
      </c>
    </row>
    <row r="47" spans="1:14" x14ac:dyDescent="0.25">
      <c r="A47" s="35" t="s">
        <v>68</v>
      </c>
      <c r="B47" s="354" t="s">
        <v>69</v>
      </c>
      <c r="C47" s="571">
        <f t="shared" ref="C47:N47" si="23">0.785*$C18^2*C46</f>
        <v>23.631004037999318</v>
      </c>
      <c r="D47" s="253">
        <f t="shared" si="23"/>
        <v>13.357161315689456</v>
      </c>
      <c r="E47" s="253">
        <f t="shared" si="23"/>
        <v>16.283214146657123</v>
      </c>
      <c r="F47" s="253">
        <f t="shared" si="23"/>
        <v>19.319133516344753</v>
      </c>
      <c r="G47" s="253">
        <f t="shared" si="23"/>
        <v>22.420547930996765</v>
      </c>
      <c r="H47" s="253">
        <f t="shared" si="23"/>
        <v>25.60021948146332</v>
      </c>
      <c r="I47" s="253">
        <f t="shared" si="23"/>
        <v>28.870478600696146</v>
      </c>
      <c r="J47" s="253">
        <f t="shared" si="23"/>
        <v>32.251511349276633</v>
      </c>
      <c r="K47" s="253">
        <f t="shared" si="23"/>
        <v>32.286546148388176</v>
      </c>
      <c r="L47" s="253">
        <f t="shared" si="23"/>
        <v>32.321599461739481</v>
      </c>
      <c r="M47" s="244">
        <f t="shared" si="23"/>
        <v>34.098358432286197</v>
      </c>
      <c r="N47" s="607">
        <f t="shared" si="23"/>
        <v>89.1644109338948</v>
      </c>
    </row>
    <row r="48" spans="1:14" ht="13.8" thickBot="1" x14ac:dyDescent="0.3">
      <c r="A48" s="35" t="s">
        <v>70</v>
      </c>
      <c r="B48" s="354" t="s">
        <v>28</v>
      </c>
      <c r="C48" s="834">
        <f>C64+C65+C117</f>
        <v>0.66817570679746718</v>
      </c>
      <c r="D48" s="638">
        <f t="shared" ref="D48:N48" si="24">D64+D65+D117</f>
        <v>0.66817570679746718</v>
      </c>
      <c r="E48" s="638">
        <f t="shared" si="24"/>
        <v>0.66817570679746718</v>
      </c>
      <c r="F48" s="638">
        <f t="shared" si="24"/>
        <v>0.66817570679746718</v>
      </c>
      <c r="G48" s="638">
        <f t="shared" si="24"/>
        <v>0.66817570679746718</v>
      </c>
      <c r="H48" s="638">
        <f t="shared" si="24"/>
        <v>0.70797288361985444</v>
      </c>
      <c r="I48" s="638">
        <f t="shared" si="24"/>
        <v>0.7931759528599841</v>
      </c>
      <c r="J48" s="638">
        <f t="shared" si="24"/>
        <v>0.95231337147621464</v>
      </c>
      <c r="K48" s="638">
        <f t="shared" si="24"/>
        <v>0.95433633892920822</v>
      </c>
      <c r="L48" s="638">
        <f t="shared" si="24"/>
        <v>0.95636736416841761</v>
      </c>
      <c r="M48" s="266">
        <f t="shared" si="24"/>
        <v>1.0680152478733682</v>
      </c>
      <c r="N48" s="810">
        <f t="shared" si="24"/>
        <v>18.899439531596212</v>
      </c>
    </row>
    <row r="49" spans="1:14" x14ac:dyDescent="0.25">
      <c r="A49" s="50"/>
      <c r="B49" s="55" t="s">
        <v>71</v>
      </c>
      <c r="C49" s="54">
        <f t="shared" ref="C49:N49" si="25">1.35-0.23*$C13+0.012*$C13^2</f>
        <v>0.48001206892545667</v>
      </c>
      <c r="D49" s="54">
        <f t="shared" si="25"/>
        <v>0.48001206892545667</v>
      </c>
      <c r="E49" s="54">
        <f t="shared" si="25"/>
        <v>0.48001206892545667</v>
      </c>
      <c r="F49" s="54">
        <f t="shared" si="25"/>
        <v>0.48001206892545667</v>
      </c>
      <c r="G49" s="54">
        <f t="shared" si="25"/>
        <v>0.48001206892545667</v>
      </c>
      <c r="H49" s="54">
        <f t="shared" si="25"/>
        <v>0.48001206892545667</v>
      </c>
      <c r="I49" s="54">
        <f t="shared" si="25"/>
        <v>0.48001206892545667</v>
      </c>
      <c r="J49" s="54">
        <f t="shared" si="25"/>
        <v>0.48001206892545667</v>
      </c>
      <c r="K49" s="54">
        <f t="shared" si="25"/>
        <v>0.48001206892545667</v>
      </c>
      <c r="L49" s="54">
        <f t="shared" si="25"/>
        <v>0.48001206892545667</v>
      </c>
      <c r="M49" s="54">
        <f t="shared" si="25"/>
        <v>0.48001206892545667</v>
      </c>
      <c r="N49" s="57">
        <f t="shared" si="25"/>
        <v>0.48001206892545667</v>
      </c>
    </row>
    <row r="50" spans="1:14" x14ac:dyDescent="0.25">
      <c r="A50" s="35"/>
      <c r="B50" s="53" t="s">
        <v>72</v>
      </c>
      <c r="C50" s="43">
        <f t="shared" ref="C50:N50" si="26">0.0011*$C13^9.1</f>
        <v>3515.2608674703433</v>
      </c>
      <c r="D50" s="43">
        <f t="shared" si="26"/>
        <v>3515.2608674703433</v>
      </c>
      <c r="E50" s="43">
        <f t="shared" si="26"/>
        <v>3515.2608674703433</v>
      </c>
      <c r="F50" s="43">
        <f t="shared" si="26"/>
        <v>3515.2608674703433</v>
      </c>
      <c r="G50" s="43">
        <f t="shared" si="26"/>
        <v>3515.2608674703433</v>
      </c>
      <c r="H50" s="43">
        <f t="shared" si="26"/>
        <v>3515.2608674703433</v>
      </c>
      <c r="I50" s="43">
        <f t="shared" si="26"/>
        <v>3515.2608674703433</v>
      </c>
      <c r="J50" s="43">
        <f t="shared" si="26"/>
        <v>3515.2608674703433</v>
      </c>
      <c r="K50" s="43">
        <f t="shared" si="26"/>
        <v>3515.2608674703433</v>
      </c>
      <c r="L50" s="43">
        <f t="shared" si="26"/>
        <v>3515.2608674703433</v>
      </c>
      <c r="M50" s="43">
        <f t="shared" si="26"/>
        <v>3515.2608674703433</v>
      </c>
      <c r="N50" s="46">
        <f t="shared" si="26"/>
        <v>3515.2608674703433</v>
      </c>
    </row>
    <row r="51" spans="1:14" x14ac:dyDescent="0.25">
      <c r="A51" s="35"/>
      <c r="B51" s="53" t="s">
        <v>73</v>
      </c>
      <c r="C51" s="42">
        <f t="shared" ref="C51:N51" si="27">2*$C13-3.7</f>
        <v>6.6709214403505195</v>
      </c>
      <c r="D51" s="42">
        <f t="shared" si="27"/>
        <v>6.6709214403505195</v>
      </c>
      <c r="E51" s="42">
        <f t="shared" si="27"/>
        <v>6.6709214403505195</v>
      </c>
      <c r="F51" s="42">
        <f t="shared" si="27"/>
        <v>6.6709214403505195</v>
      </c>
      <c r="G51" s="42">
        <f t="shared" si="27"/>
        <v>6.6709214403505195</v>
      </c>
      <c r="H51" s="42">
        <f t="shared" si="27"/>
        <v>6.6709214403505195</v>
      </c>
      <c r="I51" s="42">
        <f t="shared" si="27"/>
        <v>6.6709214403505195</v>
      </c>
      <c r="J51" s="42">
        <f t="shared" si="27"/>
        <v>6.6709214403505195</v>
      </c>
      <c r="K51" s="42">
        <f t="shared" si="27"/>
        <v>6.6709214403505195</v>
      </c>
      <c r="L51" s="42">
        <f t="shared" si="27"/>
        <v>6.6709214403505195</v>
      </c>
      <c r="M51" s="42">
        <f t="shared" si="27"/>
        <v>6.6709214403505195</v>
      </c>
      <c r="N51" s="56">
        <f t="shared" si="27"/>
        <v>6.6709214403505195</v>
      </c>
    </row>
    <row r="52" spans="1:14" x14ac:dyDescent="0.25">
      <c r="A52" s="35"/>
      <c r="B52" s="53" t="s">
        <v>74</v>
      </c>
      <c r="C52" s="42">
        <f t="shared" ref="C52:N52" si="28">7-0.09*$C13^2</f>
        <v>4.5799897407567531</v>
      </c>
      <c r="D52" s="42">
        <f t="shared" si="28"/>
        <v>4.5799897407567531</v>
      </c>
      <c r="E52" s="42">
        <f t="shared" si="28"/>
        <v>4.5799897407567531</v>
      </c>
      <c r="F52" s="42">
        <f t="shared" si="28"/>
        <v>4.5799897407567531</v>
      </c>
      <c r="G52" s="42">
        <f t="shared" si="28"/>
        <v>4.5799897407567531</v>
      </c>
      <c r="H52" s="42">
        <f t="shared" si="28"/>
        <v>4.5799897407567531</v>
      </c>
      <c r="I52" s="42">
        <f t="shared" si="28"/>
        <v>4.5799897407567531</v>
      </c>
      <c r="J52" s="42">
        <f t="shared" si="28"/>
        <v>4.5799897407567531</v>
      </c>
      <c r="K52" s="42">
        <f t="shared" si="28"/>
        <v>4.5799897407567531</v>
      </c>
      <c r="L52" s="42">
        <f t="shared" si="28"/>
        <v>4.5799897407567531</v>
      </c>
      <c r="M52" s="42">
        <f t="shared" si="28"/>
        <v>4.5799897407567531</v>
      </c>
      <c r="N52" s="56">
        <f t="shared" si="28"/>
        <v>4.5799897407567531</v>
      </c>
    </row>
    <row r="53" spans="1:14" x14ac:dyDescent="0.25">
      <c r="A53" s="35"/>
      <c r="B53" s="53" t="s">
        <v>75</v>
      </c>
      <c r="C53" s="42">
        <f t="shared" ref="C53:N53" si="29">(5*$C12-2.5)^2</f>
        <v>1.8268761418717794</v>
      </c>
      <c r="D53" s="42">
        <f t="shared" si="29"/>
        <v>1.8268761418717794</v>
      </c>
      <c r="E53" s="42">
        <f t="shared" si="29"/>
        <v>1.8268761418717794</v>
      </c>
      <c r="F53" s="42">
        <f t="shared" si="29"/>
        <v>1.8268761418717794</v>
      </c>
      <c r="G53" s="42">
        <f t="shared" si="29"/>
        <v>1.8268761418717794</v>
      </c>
      <c r="H53" s="42">
        <f t="shared" si="29"/>
        <v>1.8268761418717794</v>
      </c>
      <c r="I53" s="42">
        <f t="shared" si="29"/>
        <v>1.8268761418717794</v>
      </c>
      <c r="J53" s="42">
        <f t="shared" si="29"/>
        <v>1.8268761418717794</v>
      </c>
      <c r="K53" s="42">
        <f t="shared" si="29"/>
        <v>1.8268761418717794</v>
      </c>
      <c r="L53" s="42">
        <f t="shared" si="29"/>
        <v>1.8268761418717794</v>
      </c>
      <c r="M53" s="42">
        <f t="shared" si="29"/>
        <v>1.8268761418717794</v>
      </c>
      <c r="N53" s="56">
        <f t="shared" si="29"/>
        <v>1.8268761418717794</v>
      </c>
    </row>
    <row r="54" spans="1:14" x14ac:dyDescent="0.25">
      <c r="A54" s="35"/>
      <c r="B54" s="53" t="s">
        <v>76</v>
      </c>
      <c r="C54" s="42">
        <f t="shared" ref="C54:N54" si="30">(600*(C22-0.315)^2+1)^1.5</f>
        <v>116.21866402766382</v>
      </c>
      <c r="D54" s="42">
        <f t="shared" si="30"/>
        <v>273.29546241583762</v>
      </c>
      <c r="E54" s="42">
        <f t="shared" si="30"/>
        <v>217.38456246735646</v>
      </c>
      <c r="F54" s="42">
        <f t="shared" si="30"/>
        <v>169.77115865014798</v>
      </c>
      <c r="G54" s="42">
        <f t="shared" si="30"/>
        <v>129.77970965709736</v>
      </c>
      <c r="H54" s="42">
        <f t="shared" si="30"/>
        <v>96.734771773564887</v>
      </c>
      <c r="I54" s="42">
        <f t="shared" si="30"/>
        <v>69.961055060850114</v>
      </c>
      <c r="J54" s="42">
        <f t="shared" si="30"/>
        <v>48.969812584235903</v>
      </c>
      <c r="K54" s="42">
        <f t="shared" si="30"/>
        <v>48.783522832597932</v>
      </c>
      <c r="L54" s="42">
        <f t="shared" si="30"/>
        <v>48.597725233365239</v>
      </c>
      <c r="M54" s="42">
        <f t="shared" si="30"/>
        <v>39.920439453522164</v>
      </c>
      <c r="N54" s="56">
        <f t="shared" si="30"/>
        <v>1.0225841652402019</v>
      </c>
    </row>
    <row r="55" spans="1:14" x14ac:dyDescent="0.25">
      <c r="A55" s="35"/>
      <c r="B55" s="53" t="s">
        <v>77</v>
      </c>
      <c r="C55" s="42">
        <f t="shared" ref="C55:N55" si="31">C52*C53/C54</f>
        <v>7.1994236531701936E-2</v>
      </c>
      <c r="D55" s="42">
        <f t="shared" si="31"/>
        <v>3.061548813670004E-2</v>
      </c>
      <c r="E55" s="42">
        <f t="shared" si="31"/>
        <v>3.8489734010723371E-2</v>
      </c>
      <c r="F55" s="42">
        <f t="shared" si="31"/>
        <v>4.9284425304820377E-2</v>
      </c>
      <c r="G55" s="42">
        <f t="shared" si="31"/>
        <v>6.4471356959523385E-2</v>
      </c>
      <c r="H55" s="42">
        <f t="shared" si="31"/>
        <v>8.649499899572341E-2</v>
      </c>
      <c r="I55" s="42">
        <f t="shared" si="31"/>
        <v>0.11959616646902463</v>
      </c>
      <c r="J55" s="42">
        <f t="shared" si="31"/>
        <v>0.17086187481345419</v>
      </c>
      <c r="K55" s="42">
        <f t="shared" si="31"/>
        <v>0.17151434545057118</v>
      </c>
      <c r="L55" s="42">
        <f t="shared" si="31"/>
        <v>0.17217007477670029</v>
      </c>
      <c r="M55" s="42">
        <f t="shared" si="31"/>
        <v>0.20959373448650262</v>
      </c>
      <c r="N55" s="56">
        <f t="shared" si="31"/>
        <v>8.1822839349762742</v>
      </c>
    </row>
    <row r="56" spans="1:14" x14ac:dyDescent="0.25">
      <c r="A56" s="35"/>
      <c r="B56" s="53"/>
      <c r="C56" s="42">
        <f t="shared" ref="C56:N56" si="32">C22-(0.04+0.59*$C12)-0.015*($C13-5)</f>
        <v>-0.37727304973963272</v>
      </c>
      <c r="D56" s="42">
        <f t="shared" si="32"/>
        <v>-0.44404116246827907</v>
      </c>
      <c r="E56" s="42">
        <f t="shared" si="32"/>
        <v>-0.42432564866407396</v>
      </c>
      <c r="F56" s="42">
        <f t="shared" si="32"/>
        <v>-0.40461013485986891</v>
      </c>
      <c r="G56" s="42">
        <f t="shared" si="32"/>
        <v>-0.38489462105566385</v>
      </c>
      <c r="H56" s="42">
        <f t="shared" si="32"/>
        <v>-0.36517910725145875</v>
      </c>
      <c r="I56" s="42">
        <f t="shared" si="32"/>
        <v>-0.34546359344725369</v>
      </c>
      <c r="J56" s="42">
        <f t="shared" si="32"/>
        <v>-0.32594523478109072</v>
      </c>
      <c r="K56" s="42">
        <f t="shared" si="32"/>
        <v>-0.32574807964304864</v>
      </c>
      <c r="L56" s="42">
        <f t="shared" si="32"/>
        <v>-0.32555092450500656</v>
      </c>
      <c r="M56" s="42">
        <f t="shared" si="32"/>
        <v>-0.31569316760290406</v>
      </c>
      <c r="N56" s="56">
        <f t="shared" si="32"/>
        <v>-0.1772730497396327</v>
      </c>
    </row>
    <row r="57" spans="1:14" x14ac:dyDescent="0.25">
      <c r="A57" s="18"/>
      <c r="B57" s="53" t="s">
        <v>78</v>
      </c>
      <c r="C57" s="42">
        <f t="shared" ref="C57:N57" si="33">EXP(80*C56)</f>
        <v>7.8017441895773083E-14</v>
      </c>
      <c r="D57" s="42">
        <f t="shared" si="33"/>
        <v>3.7361979014445969E-16</v>
      </c>
      <c r="E57" s="42">
        <f t="shared" si="33"/>
        <v>1.8089100865618152E-15</v>
      </c>
      <c r="F57" s="42">
        <f t="shared" si="33"/>
        <v>8.7579828145610224E-15</v>
      </c>
      <c r="G57" s="42">
        <f t="shared" si="33"/>
        <v>4.2402474036690903E-14</v>
      </c>
      <c r="H57" s="42">
        <f t="shared" si="33"/>
        <v>2.0529496831655735E-13</v>
      </c>
      <c r="I57" s="42">
        <f t="shared" si="33"/>
        <v>9.9395200335780274E-13</v>
      </c>
      <c r="J57" s="42">
        <f t="shared" si="33"/>
        <v>4.7369919921067331E-12</v>
      </c>
      <c r="K57" s="42">
        <f t="shared" si="33"/>
        <v>4.8122980951760161E-12</v>
      </c>
      <c r="L57" s="42">
        <f t="shared" si="33"/>
        <v>4.8888013734081126E-12</v>
      </c>
      <c r="M57" s="42">
        <f t="shared" si="33"/>
        <v>1.0757118351815119E-11</v>
      </c>
      <c r="N57" s="56">
        <f t="shared" si="33"/>
        <v>6.9327161121314084E-7</v>
      </c>
    </row>
    <row r="58" spans="1:14" x14ac:dyDescent="0.25">
      <c r="A58" s="18"/>
      <c r="B58" s="53"/>
      <c r="C58" s="42">
        <f t="shared" ref="C58:N58" si="34">20*$C12-16</f>
        <v>-0.59352071399987061</v>
      </c>
      <c r="D58" s="42">
        <f t="shared" si="34"/>
        <v>-0.59352071399987061</v>
      </c>
      <c r="E58" s="42">
        <f t="shared" si="34"/>
        <v>-0.59352071399987061</v>
      </c>
      <c r="F58" s="42">
        <f t="shared" si="34"/>
        <v>-0.59352071399987061</v>
      </c>
      <c r="G58" s="42">
        <f t="shared" si="34"/>
        <v>-0.59352071399987061</v>
      </c>
      <c r="H58" s="42">
        <f t="shared" si="34"/>
        <v>-0.59352071399987061</v>
      </c>
      <c r="I58" s="42">
        <f t="shared" si="34"/>
        <v>-0.59352071399987061</v>
      </c>
      <c r="J58" s="42">
        <f t="shared" si="34"/>
        <v>-0.59352071399987061</v>
      </c>
      <c r="K58" s="42">
        <f t="shared" si="34"/>
        <v>-0.59352071399987061</v>
      </c>
      <c r="L58" s="42">
        <f t="shared" si="34"/>
        <v>-0.59352071399987061</v>
      </c>
      <c r="M58" s="42">
        <f t="shared" si="34"/>
        <v>-0.59352071399987061</v>
      </c>
      <c r="N58" s="56">
        <f t="shared" si="34"/>
        <v>-0.59352071399987061</v>
      </c>
    </row>
    <row r="59" spans="1:14" x14ac:dyDescent="0.25">
      <c r="A59" s="18"/>
      <c r="B59" s="53" t="s">
        <v>79</v>
      </c>
      <c r="C59" s="42">
        <f t="shared" ref="C59:N59" si="35">180*C22^3.7*EXP(C58)</f>
        <v>3.894756802294673E-2</v>
      </c>
      <c r="D59" s="42">
        <f t="shared" si="35"/>
        <v>1.9246228173741072E-3</v>
      </c>
      <c r="E59" s="42">
        <f t="shared" si="35"/>
        <v>6.1751296736959329E-3</v>
      </c>
      <c r="F59" s="42">
        <f t="shared" si="35"/>
        <v>1.4964485068017435E-2</v>
      </c>
      <c r="G59" s="42">
        <f t="shared" si="35"/>
        <v>3.0551790608410734E-2</v>
      </c>
      <c r="H59" s="42">
        <f t="shared" si="35"/>
        <v>5.5561821239932356E-2</v>
      </c>
      <c r="I59" s="42">
        <f t="shared" si="35"/>
        <v>9.2964125010596768E-2</v>
      </c>
      <c r="J59" s="42">
        <f t="shared" si="35"/>
        <v>0.14543631958171258</v>
      </c>
      <c r="K59" s="42">
        <f t="shared" si="35"/>
        <v>0.14605651623722951</v>
      </c>
      <c r="L59" s="42">
        <f t="shared" si="35"/>
        <v>0.14667864063060926</v>
      </c>
      <c r="M59" s="42">
        <f t="shared" si="35"/>
        <v>0.18032682435286501</v>
      </c>
      <c r="N59" s="56">
        <f t="shared" si="35"/>
        <v>1.4674545322321628</v>
      </c>
    </row>
    <row r="60" spans="1:14" x14ac:dyDescent="0.25">
      <c r="A60" s="18"/>
      <c r="B60" s="53"/>
      <c r="C60" s="42">
        <f t="shared" ref="C60:N60" si="36">C49+1.5*C22^1.8+C50*C22^(C51)</f>
        <v>0.51555068174937724</v>
      </c>
      <c r="D60" s="42">
        <f t="shared" si="36"/>
        <v>0.48766513360845259</v>
      </c>
      <c r="E60" s="42">
        <f t="shared" si="36"/>
        <v>0.49357790396190288</v>
      </c>
      <c r="F60" s="42">
        <f t="shared" si="36"/>
        <v>0.50118947396329128</v>
      </c>
      <c r="G60" s="42">
        <f t="shared" si="36"/>
        <v>0.5109762154787002</v>
      </c>
      <c r="H60" s="42">
        <f t="shared" si="36"/>
        <v>0.52404984385110887</v>
      </c>
      <c r="I60" s="42">
        <f t="shared" si="36"/>
        <v>0.54255883193893883</v>
      </c>
      <c r="J60" s="42">
        <f t="shared" si="36"/>
        <v>0.56989048807728582</v>
      </c>
      <c r="K60" s="42">
        <f t="shared" si="36"/>
        <v>0.57022997217622717</v>
      </c>
      <c r="L60" s="42">
        <f t="shared" si="36"/>
        <v>0.57057094666642905</v>
      </c>
      <c r="M60" s="42">
        <f t="shared" si="36"/>
        <v>0.58969101740860108</v>
      </c>
      <c r="N60" s="56">
        <f t="shared" si="36"/>
        <v>2.4302493509711995</v>
      </c>
    </row>
    <row r="61" spans="1:14" x14ac:dyDescent="0.25">
      <c r="A61" s="35"/>
      <c r="B61" s="53"/>
      <c r="C61" s="42">
        <f t="shared" ref="C61:N61" si="37">0.98+2.5/($C13-2)^4</f>
        <v>1.0042801291201329</v>
      </c>
      <c r="D61" s="42">
        <f t="shared" si="37"/>
        <v>1.0042801291201329</v>
      </c>
      <c r="E61" s="42">
        <f t="shared" si="37"/>
        <v>1.0042801291201329</v>
      </c>
      <c r="F61" s="42">
        <f t="shared" si="37"/>
        <v>1.0042801291201329</v>
      </c>
      <c r="G61" s="42">
        <f t="shared" si="37"/>
        <v>1.0042801291201329</v>
      </c>
      <c r="H61" s="42">
        <f t="shared" si="37"/>
        <v>1.0042801291201329</v>
      </c>
      <c r="I61" s="42">
        <f t="shared" si="37"/>
        <v>1.0042801291201329</v>
      </c>
      <c r="J61" s="42">
        <f t="shared" si="37"/>
        <v>1.0042801291201329</v>
      </c>
      <c r="K61" s="42">
        <f t="shared" si="37"/>
        <v>1.0042801291201329</v>
      </c>
      <c r="L61" s="42">
        <f t="shared" si="37"/>
        <v>1.0042801291201329</v>
      </c>
      <c r="M61" s="42">
        <f t="shared" si="37"/>
        <v>1.0042801291201329</v>
      </c>
      <c r="N61" s="56">
        <f t="shared" si="37"/>
        <v>1.0042801291201329</v>
      </c>
    </row>
    <row r="62" spans="1:14" x14ac:dyDescent="0.25">
      <c r="A62" s="35"/>
      <c r="B62" s="53"/>
      <c r="C62" s="42">
        <f t="shared" ref="C62:N62" si="38">($C13-5)^4*(C22-0.1)^4</f>
        <v>1.8929003442475211E-10</v>
      </c>
      <c r="D62" s="42">
        <f t="shared" si="38"/>
        <v>5.6598790021013806E-9</v>
      </c>
      <c r="E62" s="42">
        <f t="shared" si="38"/>
        <v>6.3364168884500272E-10</v>
      </c>
      <c r="F62" s="42">
        <f t="shared" si="38"/>
        <v>3.4284829782163517E-12</v>
      </c>
      <c r="G62" s="42">
        <f t="shared" si="38"/>
        <v>2.7776008932444217E-11</v>
      </c>
      <c r="H62" s="42">
        <f t="shared" si="38"/>
        <v>1.25516276633157E-9</v>
      </c>
      <c r="I62" s="42">
        <f t="shared" si="38"/>
        <v>8.5240091299919415E-9</v>
      </c>
      <c r="J62" s="42">
        <f t="shared" si="38"/>
        <v>3.0622697769036554E-8</v>
      </c>
      <c r="K62" s="42">
        <f t="shared" si="38"/>
        <v>3.0962677349922331E-8</v>
      </c>
      <c r="L62" s="42">
        <f t="shared" si="38"/>
        <v>3.1305479997465587E-8</v>
      </c>
      <c r="M62" s="42">
        <f t="shared" si="38"/>
        <v>5.240105872551136E-8</v>
      </c>
      <c r="N62" s="56">
        <f t="shared" si="38"/>
        <v>2.7713953940128015E-6</v>
      </c>
    </row>
    <row r="63" spans="1:14" x14ac:dyDescent="0.25">
      <c r="A63" s="35"/>
      <c r="B63" s="53" t="s">
        <v>80</v>
      </c>
      <c r="C63" s="42">
        <f t="shared" ref="C63:N63" si="39">C60*C61+C62</f>
        <v>0.51775730542452714</v>
      </c>
      <c r="D63" s="42">
        <f t="shared" si="39"/>
        <v>0.48975240900756262</v>
      </c>
      <c r="E63" s="42">
        <f t="shared" si="39"/>
        <v>0.49569048175534608</v>
      </c>
      <c r="F63" s="42">
        <f t="shared" si="39"/>
        <v>0.50333462962893416</v>
      </c>
      <c r="G63" s="42">
        <f t="shared" si="39"/>
        <v>0.51316325968604193</v>
      </c>
      <c r="H63" s="42">
        <f t="shared" si="39"/>
        <v>0.52629284610333982</v>
      </c>
      <c r="I63" s="42">
        <f t="shared" si="39"/>
        <v>0.54488106231891509</v>
      </c>
      <c r="J63" s="42">
        <f t="shared" si="39"/>
        <v>0.57232972357328993</v>
      </c>
      <c r="K63" s="42">
        <f t="shared" si="39"/>
        <v>0.57267066104798847</v>
      </c>
      <c r="L63" s="42">
        <f t="shared" si="39"/>
        <v>0.57301309529583777</v>
      </c>
      <c r="M63" s="42">
        <f t="shared" si="39"/>
        <v>0.59221502350515109</v>
      </c>
      <c r="N63" s="56">
        <f t="shared" si="39"/>
        <v>2.4406539033828696</v>
      </c>
    </row>
    <row r="64" spans="1:14" x14ac:dyDescent="0.25">
      <c r="A64" s="35"/>
      <c r="B64" s="53" t="s">
        <v>81</v>
      </c>
      <c r="C64" s="42">
        <f t="shared" ref="C64:N64" si="40">0.16*($C5/$C6-2.5)</f>
        <v>0.11919286246002671</v>
      </c>
      <c r="D64" s="42">
        <f t="shared" si="40"/>
        <v>0.11919286246002671</v>
      </c>
      <c r="E64" s="42">
        <f t="shared" si="40"/>
        <v>0.11919286246002671</v>
      </c>
      <c r="F64" s="42">
        <f t="shared" si="40"/>
        <v>0.11919286246002671</v>
      </c>
      <c r="G64" s="42">
        <f t="shared" si="40"/>
        <v>0.11919286246002671</v>
      </c>
      <c r="H64" s="42">
        <f t="shared" si="40"/>
        <v>0.11919286246002671</v>
      </c>
      <c r="I64" s="42">
        <f t="shared" si="40"/>
        <v>0.11919286246002671</v>
      </c>
      <c r="J64" s="42">
        <f t="shared" si="40"/>
        <v>0.11919286246002671</v>
      </c>
      <c r="K64" s="42">
        <f t="shared" si="40"/>
        <v>0.11919286246002671</v>
      </c>
      <c r="L64" s="42">
        <f t="shared" si="40"/>
        <v>0.11919286246002671</v>
      </c>
      <c r="M64" s="42">
        <f t="shared" si="40"/>
        <v>0.11919286246002671</v>
      </c>
      <c r="N64" s="56">
        <f t="shared" si="40"/>
        <v>0.11919286246002671</v>
      </c>
    </row>
    <row r="65" spans="1:15" x14ac:dyDescent="0.25">
      <c r="A65" s="35"/>
      <c r="B65" s="53" t="s">
        <v>82</v>
      </c>
      <c r="C65" s="42">
        <f t="shared" ref="C65:N65" si="41">($C15-$C14)/3*0.1</f>
        <v>0</v>
      </c>
      <c r="D65" s="42">
        <f t="shared" si="41"/>
        <v>0</v>
      </c>
      <c r="E65" s="42">
        <f t="shared" si="41"/>
        <v>0</v>
      </c>
      <c r="F65" s="42">
        <f t="shared" si="41"/>
        <v>0</v>
      </c>
      <c r="G65" s="42">
        <f t="shared" si="41"/>
        <v>0</v>
      </c>
      <c r="H65" s="42">
        <f t="shared" si="41"/>
        <v>0</v>
      </c>
      <c r="I65" s="42">
        <f t="shared" si="41"/>
        <v>0</v>
      </c>
      <c r="J65" s="42">
        <f t="shared" si="41"/>
        <v>0</v>
      </c>
      <c r="K65" s="42">
        <f t="shared" si="41"/>
        <v>0</v>
      </c>
      <c r="L65" s="42">
        <f t="shared" si="41"/>
        <v>0</v>
      </c>
      <c r="M65" s="42">
        <f t="shared" si="41"/>
        <v>0</v>
      </c>
      <c r="N65" s="56">
        <f t="shared" si="41"/>
        <v>0</v>
      </c>
    </row>
    <row r="66" spans="1:15" x14ac:dyDescent="0.25">
      <c r="A66" s="35"/>
      <c r="B66" s="53" t="s">
        <v>83</v>
      </c>
      <c r="C66" s="53">
        <f>0.1*C5/C4+0.149</f>
        <v>0.16643404365847386</v>
      </c>
      <c r="D66" s="53" t="s">
        <v>84</v>
      </c>
      <c r="E66" s="53">
        <f>0.625*C5/C4+0.08</f>
        <v>0.18896277286546165</v>
      </c>
      <c r="F66" s="53"/>
      <c r="G66" s="53"/>
      <c r="H66" s="53"/>
      <c r="I66" s="53"/>
      <c r="J66" s="53"/>
      <c r="K66" s="53"/>
      <c r="L66" s="53"/>
      <c r="M66" s="53"/>
      <c r="N66" s="58"/>
    </row>
    <row r="67" spans="1:15" x14ac:dyDescent="0.25">
      <c r="A67" s="35"/>
      <c r="B67" s="53" t="s">
        <v>85</v>
      </c>
      <c r="C67" s="53">
        <f>0.05*C5/C4+0.449</f>
        <v>0.45771702182923696</v>
      </c>
      <c r="D67" s="53" t="s">
        <v>86</v>
      </c>
      <c r="E67" s="53">
        <f>0.165-0.25*C5/C4</f>
        <v>0.12141489085381535</v>
      </c>
      <c r="F67" s="53"/>
      <c r="G67" s="53"/>
      <c r="H67" s="53"/>
      <c r="I67" s="53"/>
      <c r="J67" s="53"/>
      <c r="K67" s="53"/>
      <c r="L67" s="53"/>
      <c r="M67" s="53"/>
      <c r="N67" s="58"/>
    </row>
    <row r="68" spans="1:15" x14ac:dyDescent="0.25">
      <c r="A68" s="35"/>
      <c r="B68" s="53" t="s">
        <v>87</v>
      </c>
      <c r="C68" s="53">
        <f>585-5027*C5/C4+11700*(C5/C4)^2</f>
        <v>64.207302882638999</v>
      </c>
      <c r="D68" s="53" t="s">
        <v>88</v>
      </c>
      <c r="E68" s="53">
        <f>825-8060*C5/C4+20300*(C5/C4)^2</f>
        <v>36.826214046719201</v>
      </c>
      <c r="F68" s="53"/>
      <c r="G68" s="53"/>
      <c r="H68" s="53"/>
      <c r="I68" s="53"/>
      <c r="J68" s="53"/>
      <c r="K68" s="53"/>
      <c r="L68" s="53"/>
      <c r="M68" s="53"/>
      <c r="N68" s="58"/>
    </row>
    <row r="69" spans="1:15" x14ac:dyDescent="0.25">
      <c r="A69" s="35"/>
      <c r="B69" s="53" t="s">
        <v>89</v>
      </c>
      <c r="C69" s="42">
        <f>C66+C67/(C68*(0.98-C11)^3+1)</f>
        <v>0.44689240751873677</v>
      </c>
      <c r="D69" s="42" t="s">
        <v>90</v>
      </c>
      <c r="E69" s="42">
        <f>E66+E67/(E68*(0.98-C11)^3+1)</f>
        <v>0.27807441760259505</v>
      </c>
      <c r="F69" s="42"/>
      <c r="G69" s="42"/>
      <c r="H69" s="53"/>
      <c r="I69" s="53"/>
      <c r="J69" s="53"/>
      <c r="K69" s="53"/>
      <c r="L69" s="53"/>
      <c r="M69" s="53"/>
      <c r="N69" s="58"/>
    </row>
    <row r="70" spans="1:15" x14ac:dyDescent="0.25">
      <c r="A70" s="35"/>
      <c r="B70" s="53" t="s">
        <v>91</v>
      </c>
      <c r="C70" s="42">
        <f>0.025*C15/(100*(C11-0.7)^2+1)</f>
        <v>0</v>
      </c>
      <c r="D70" s="42" t="s">
        <v>92</v>
      </c>
      <c r="E70" s="42">
        <f>-0.01*C15</f>
        <v>0</v>
      </c>
      <c r="F70" s="42"/>
      <c r="G70" s="42"/>
      <c r="H70" s="53"/>
      <c r="I70" s="53"/>
      <c r="J70" s="53"/>
      <c r="K70" s="53"/>
      <c r="L70" s="53"/>
      <c r="M70" s="53"/>
      <c r="N70" s="58"/>
    </row>
    <row r="71" spans="1:15" x14ac:dyDescent="0.25">
      <c r="A71" s="35"/>
      <c r="B71" s="53" t="s">
        <v>93</v>
      </c>
      <c r="C71" s="42">
        <f>0.00756/(C18/C4+0.002)-0.18</f>
        <v>-1.6686165081056942E-2</v>
      </c>
      <c r="D71" s="42" t="s">
        <v>94</v>
      </c>
      <c r="E71" s="42">
        <f>2*(C18/C4-0.04)</f>
        <v>8.5824808872099062E-3</v>
      </c>
      <c r="F71" s="42"/>
      <c r="G71" s="42"/>
      <c r="H71" s="53"/>
      <c r="I71" s="53"/>
      <c r="J71" s="53"/>
      <c r="K71" s="53"/>
      <c r="L71" s="53"/>
      <c r="M71" s="53"/>
      <c r="N71" s="58"/>
    </row>
    <row r="72" spans="1:15" x14ac:dyDescent="0.25">
      <c r="A72" s="35"/>
      <c r="B72" s="53" t="s">
        <v>93</v>
      </c>
      <c r="C72" s="42">
        <f>MIN(0.1,C71)</f>
        <v>-1.6686165081056942E-2</v>
      </c>
      <c r="D72" s="42"/>
      <c r="E72" s="42"/>
      <c r="F72" s="42"/>
      <c r="G72" s="42"/>
      <c r="H72" s="53"/>
      <c r="I72" s="53"/>
      <c r="J72" s="53"/>
      <c r="K72" s="53"/>
      <c r="L72" s="53"/>
      <c r="M72" s="53"/>
      <c r="N72" s="58"/>
    </row>
    <row r="73" spans="1:15" x14ac:dyDescent="0.25">
      <c r="A73" s="35"/>
      <c r="B73" s="53" t="s">
        <v>95</v>
      </c>
      <c r="C73" s="76">
        <f>C69+C70+C72</f>
        <v>0.4302062424376798</v>
      </c>
      <c r="D73" s="42" t="s">
        <v>96</v>
      </c>
      <c r="E73" s="76">
        <f>E69+E70+E71</f>
        <v>0.28665689848980497</v>
      </c>
      <c r="F73" s="42" t="s">
        <v>97</v>
      </c>
      <c r="G73" s="76">
        <f>0.7*C11-0.2</f>
        <v>0.3359798537299114</v>
      </c>
      <c r="H73" s="53"/>
      <c r="I73" s="53"/>
      <c r="J73" s="53"/>
      <c r="K73" s="53"/>
      <c r="L73" s="53"/>
      <c r="M73" s="53"/>
      <c r="N73" s="58"/>
    </row>
    <row r="74" spans="1:15" x14ac:dyDescent="0.25">
      <c r="A74" s="35"/>
      <c r="B74" s="53" t="s">
        <v>98</v>
      </c>
      <c r="C74" s="76">
        <f>1.133*C11^2-0.797*C11+0.215</f>
        <v>0.2689974263016256</v>
      </c>
      <c r="D74" s="42" t="s">
        <v>99</v>
      </c>
      <c r="E74" s="76">
        <f>0.0665+0.62833*C74</f>
        <v>0.23551915286810043</v>
      </c>
      <c r="F74" s="42" t="s">
        <v>100</v>
      </c>
      <c r="G74" s="76">
        <f>0.2*C11+0.06</f>
        <v>0.21313710106568901</v>
      </c>
      <c r="H74" s="53"/>
      <c r="I74" s="53"/>
      <c r="J74" s="53"/>
      <c r="K74" s="53"/>
      <c r="L74" s="53"/>
      <c r="M74" s="53"/>
      <c r="N74" s="58"/>
    </row>
    <row r="75" spans="1:15" x14ac:dyDescent="0.25">
      <c r="A75" s="22" t="s">
        <v>101</v>
      </c>
      <c r="B75" s="53" t="s">
        <v>102</v>
      </c>
      <c r="C75" s="53">
        <f t="shared" ref="C75:N75" si="42">IF(C22&gt;$J9,0,IF($C17=1,0.2,0.1))</f>
        <v>0.2</v>
      </c>
      <c r="D75" s="53">
        <f t="shared" si="42"/>
        <v>0.2</v>
      </c>
      <c r="E75" s="53">
        <f t="shared" si="42"/>
        <v>0.2</v>
      </c>
      <c r="F75" s="53">
        <f t="shared" si="42"/>
        <v>0.2</v>
      </c>
      <c r="G75" s="53">
        <f t="shared" si="42"/>
        <v>0.2</v>
      </c>
      <c r="H75" s="53">
        <f t="shared" si="42"/>
        <v>0.2</v>
      </c>
      <c r="I75" s="53">
        <f t="shared" si="42"/>
        <v>0.2</v>
      </c>
      <c r="J75" s="53">
        <f t="shared" si="42"/>
        <v>0.2</v>
      </c>
      <c r="K75" s="53">
        <f t="shared" si="42"/>
        <v>0.2</v>
      </c>
      <c r="L75" s="53">
        <f t="shared" si="42"/>
        <v>0.2</v>
      </c>
      <c r="M75" s="53">
        <f t="shared" si="42"/>
        <v>0.2</v>
      </c>
      <c r="N75" s="53">
        <f t="shared" si="42"/>
        <v>0.2</v>
      </c>
    </row>
    <row r="76" spans="1:15" x14ac:dyDescent="0.25">
      <c r="A76" s="22"/>
      <c r="B76" s="557" t="s">
        <v>123</v>
      </c>
      <c r="C76" s="555">
        <f>C22</f>
        <v>0.12</v>
      </c>
      <c r="D76" s="555">
        <f t="shared" ref="D76:M76" si="43">IF(D22&lt;0.12,0.12,D22)</f>
        <v>0.12</v>
      </c>
      <c r="E76" s="555">
        <f t="shared" si="43"/>
        <v>0.12</v>
      </c>
      <c r="F76" s="555">
        <f t="shared" si="43"/>
        <v>0.12</v>
      </c>
      <c r="G76" s="555">
        <f t="shared" si="43"/>
        <v>0.12</v>
      </c>
      <c r="H76" s="555">
        <f t="shared" si="43"/>
        <v>0.13209394248817394</v>
      </c>
      <c r="I76" s="555">
        <f t="shared" si="43"/>
        <v>0.15180945629237902</v>
      </c>
      <c r="J76" s="555">
        <f t="shared" si="43"/>
        <v>0.17132781495854202</v>
      </c>
      <c r="K76" s="555">
        <f t="shared" si="43"/>
        <v>0.17152497009658407</v>
      </c>
      <c r="L76" s="555">
        <f t="shared" si="43"/>
        <v>0.17172212523462613</v>
      </c>
      <c r="M76" s="555">
        <f t="shared" si="43"/>
        <v>0.18157988213672865</v>
      </c>
      <c r="N76" s="67">
        <f>N22</f>
        <v>0.32</v>
      </c>
      <c r="O76" s="551" t="s">
        <v>483</v>
      </c>
    </row>
    <row r="77" spans="1:15" x14ac:dyDescent="0.25">
      <c r="A77" s="22"/>
      <c r="B77" s="557" t="s">
        <v>103</v>
      </c>
      <c r="C77" s="556">
        <f>C22^2</f>
        <v>1.44E-2</v>
      </c>
      <c r="D77" s="556">
        <f>D76^2</f>
        <v>1.44E-2</v>
      </c>
      <c r="E77" s="556">
        <f t="shared" ref="E77:M77" si="44">E76^2</f>
        <v>1.44E-2</v>
      </c>
      <c r="F77" s="556">
        <f t="shared" si="44"/>
        <v>1.44E-2</v>
      </c>
      <c r="G77" s="556">
        <f t="shared" si="44"/>
        <v>1.44E-2</v>
      </c>
      <c r="H77" s="556">
        <f t="shared" si="44"/>
        <v>1.7448809642069005E-2</v>
      </c>
      <c r="I77" s="556">
        <f t="shared" si="44"/>
        <v>2.3046111019787735E-2</v>
      </c>
      <c r="J77" s="556">
        <f t="shared" si="44"/>
        <v>2.9353220178468413E-2</v>
      </c>
      <c r="K77" s="556">
        <f t="shared" si="44"/>
        <v>2.9420815366634059E-2</v>
      </c>
      <c r="L77" s="556">
        <f t="shared" si="44"/>
        <v>2.9488488295096621E-2</v>
      </c>
      <c r="M77" s="556">
        <f t="shared" si="44"/>
        <v>3.2971253596788271E-2</v>
      </c>
      <c r="N77" s="49">
        <f>N22^2</f>
        <v>0.1024</v>
      </c>
    </row>
    <row r="78" spans="1:15" x14ac:dyDescent="0.25">
      <c r="A78" s="22"/>
      <c r="B78" s="557" t="s">
        <v>104</v>
      </c>
      <c r="C78" s="556">
        <f>C22^3</f>
        <v>1.7279999999999999E-3</v>
      </c>
      <c r="D78" s="556">
        <f>D76^3</f>
        <v>1.7279999999999999E-3</v>
      </c>
      <c r="E78" s="556">
        <f t="shared" ref="E78:M78" si="45">E76^3</f>
        <v>1.7279999999999999E-3</v>
      </c>
      <c r="F78" s="556">
        <f t="shared" si="45"/>
        <v>1.7279999999999999E-3</v>
      </c>
      <c r="G78" s="556">
        <f t="shared" si="45"/>
        <v>1.7279999999999999E-3</v>
      </c>
      <c r="H78" s="556">
        <f t="shared" si="45"/>
        <v>2.3048820573465579E-3</v>
      </c>
      <c r="I78" s="556">
        <f t="shared" si="45"/>
        <v>3.4986175835677808E-3</v>
      </c>
      <c r="J78" s="556">
        <f t="shared" si="45"/>
        <v>5.0290230751739778E-3</v>
      </c>
      <c r="K78" s="556">
        <f t="shared" si="45"/>
        <v>5.0464044759790279E-3</v>
      </c>
      <c r="L78" s="556">
        <f t="shared" si="45"/>
        <v>5.0638258799903888E-3</v>
      </c>
      <c r="M78" s="556">
        <f t="shared" si="45"/>
        <v>5.9869163420050052E-3</v>
      </c>
      <c r="N78" s="49">
        <f>N22^3</f>
        <v>3.2768000000000005E-2</v>
      </c>
    </row>
    <row r="79" spans="1:15" x14ac:dyDescent="0.25">
      <c r="A79" s="22"/>
      <c r="B79" s="557" t="s">
        <v>105</v>
      </c>
      <c r="C79" s="556">
        <f>C22^4</f>
        <v>2.0735999999999999E-4</v>
      </c>
      <c r="D79" s="558">
        <f>D76^4</f>
        <v>2.0735999999999999E-4</v>
      </c>
      <c r="E79" s="558">
        <f t="shared" ref="E79:M79" si="46">E76^4</f>
        <v>2.0735999999999999E-4</v>
      </c>
      <c r="F79" s="558">
        <f t="shared" si="46"/>
        <v>2.0735999999999999E-4</v>
      </c>
      <c r="G79" s="558">
        <f t="shared" si="46"/>
        <v>2.0735999999999999E-4</v>
      </c>
      <c r="H79" s="558">
        <f t="shared" si="46"/>
        <v>3.0446095792516025E-4</v>
      </c>
      <c r="I79" s="558">
        <f t="shared" si="46"/>
        <v>5.3112323313638172E-4</v>
      </c>
      <c r="J79" s="558">
        <f t="shared" si="46"/>
        <v>8.6161153484564518E-4</v>
      </c>
      <c r="K79" s="558">
        <f t="shared" si="46"/>
        <v>8.6558437683757078E-4</v>
      </c>
      <c r="L79" s="558">
        <f t="shared" si="46"/>
        <v>8.6957094193005041E-4</v>
      </c>
      <c r="M79" s="558">
        <f t="shared" si="46"/>
        <v>1.0871035637437234E-3</v>
      </c>
      <c r="N79" s="49">
        <f>N22^4</f>
        <v>1.048576E-2</v>
      </c>
    </row>
    <row r="80" spans="1:15" x14ac:dyDescent="0.25">
      <c r="A80" s="22"/>
      <c r="B80" s="557" t="s">
        <v>106</v>
      </c>
      <c r="C80" s="556">
        <f>C22^5</f>
        <v>2.4883199999999999E-5</v>
      </c>
      <c r="D80" s="558">
        <f>D76^5</f>
        <v>2.4883199999999999E-5</v>
      </c>
      <c r="E80" s="558">
        <f t="shared" ref="E80:M80" si="47">E76^5</f>
        <v>2.4883199999999999E-5</v>
      </c>
      <c r="F80" s="558">
        <f t="shared" si="47"/>
        <v>2.4883199999999999E-5</v>
      </c>
      <c r="G80" s="558">
        <f t="shared" si="47"/>
        <v>2.4883199999999999E-5</v>
      </c>
      <c r="H80" s="558">
        <f t="shared" si="47"/>
        <v>4.0217448266060466E-5</v>
      </c>
      <c r="I80" s="558">
        <f t="shared" si="47"/>
        <v>8.0629529246684567E-5</v>
      </c>
      <c r="J80" s="558">
        <f t="shared" si="47"/>
        <v>1.4761802160818008E-4</v>
      </c>
      <c r="K80" s="558">
        <f t="shared" si="47"/>
        <v>1.4846933435313467E-4</v>
      </c>
      <c r="L80" s="558">
        <f t="shared" si="47"/>
        <v>1.4932457019050391E-4</v>
      </c>
      <c r="M80" s="558">
        <f t="shared" si="47"/>
        <v>1.9739613697500297E-4</v>
      </c>
      <c r="N80" s="49">
        <f>N22^5</f>
        <v>3.3554432000000001E-3</v>
      </c>
    </row>
    <row r="81" spans="1:14" x14ac:dyDescent="0.25">
      <c r="A81" s="176"/>
      <c r="B81" s="557" t="s">
        <v>258</v>
      </c>
      <c r="C81" s="556">
        <f>C22^6</f>
        <v>2.9859839999999999E-6</v>
      </c>
      <c r="D81" s="558">
        <f>D76^6</f>
        <v>2.9859839999999999E-6</v>
      </c>
      <c r="E81" s="558">
        <f t="shared" ref="E81:M81" si="48">E76^6</f>
        <v>2.9859839999999999E-6</v>
      </c>
      <c r="F81" s="558">
        <f t="shared" si="48"/>
        <v>2.9859839999999999E-6</v>
      </c>
      <c r="G81" s="558">
        <f t="shared" si="48"/>
        <v>2.9859839999999999E-6</v>
      </c>
      <c r="H81" s="558">
        <f t="shared" si="48"/>
        <v>5.3124812982781013E-6</v>
      </c>
      <c r="I81" s="558">
        <f t="shared" si="48"/>
        <v>1.2240324996049657E-5</v>
      </c>
      <c r="J81" s="558">
        <f t="shared" si="48"/>
        <v>2.5291073090632331E-5</v>
      </c>
      <c r="K81" s="558">
        <f t="shared" si="48"/>
        <v>2.5466198135181168E-5</v>
      </c>
      <c r="L81" s="558">
        <f t="shared" si="48"/>
        <v>2.5642332542860435E-5</v>
      </c>
      <c r="M81" s="558">
        <f t="shared" si="48"/>
        <v>3.584316728616659E-5</v>
      </c>
      <c r="N81" s="183">
        <f>N22^6</f>
        <v>1.073741824E-3</v>
      </c>
    </row>
    <row r="82" spans="1:14" x14ac:dyDescent="0.25">
      <c r="A82" s="75" t="s">
        <v>228</v>
      </c>
      <c r="B82" s="73" t="s">
        <v>210</v>
      </c>
      <c r="C82" s="77">
        <f xml:space="preserve"> 81963.95967*C80 - 69372.12684*C79 + 23700.28578*C78 - 4016.65661*C77 + 339.10948*C76 - 10.91</f>
        <v>0.55189762355814054</v>
      </c>
      <c r="D82" s="77">
        <f xml:space="preserve"> 81963.95967*D80 - 69372.12684*D79 + 23700.28578*D78 - 4016.65661*D77 + 339.10948*D76 - 10.91</f>
        <v>0.55189762355814054</v>
      </c>
      <c r="E82" s="77">
        <f t="shared" ref="E82:N82" si="49" xml:space="preserve"> 81963.95967*E80 - 69372.12684*E79 + 23700.28578*E78 - 4016.65661*E77 + 339.10948*E76 - 10.91</f>
        <v>0.55189762355814054</v>
      </c>
      <c r="F82" s="77">
        <f t="shared" si="49"/>
        <v>0.55189762355814054</v>
      </c>
      <c r="G82" s="77">
        <f t="shared" si="49"/>
        <v>0.55189762355814054</v>
      </c>
      <c r="H82" s="77">
        <f t="shared" si="49"/>
        <v>0.60007212787170161</v>
      </c>
      <c r="I82" s="77">
        <f t="shared" si="49"/>
        <v>0.68351537203495027</v>
      </c>
      <c r="J82" s="77">
        <f t="shared" si="49"/>
        <v>0.8038973488734662</v>
      </c>
      <c r="K82" s="77">
        <f t="shared" si="49"/>
        <v>0.80536449711577163</v>
      </c>
      <c r="L82" s="77">
        <f t="shared" si="49"/>
        <v>0.80683702821849224</v>
      </c>
      <c r="M82" s="77">
        <f t="shared" si="49"/>
        <v>0.88756665457964701</v>
      </c>
      <c r="N82" s="77">
        <f t="shared" si="49"/>
        <v>10.516299561017544</v>
      </c>
    </row>
    <row r="83" spans="1:14" x14ac:dyDescent="0.25">
      <c r="A83" s="75" t="s">
        <v>229</v>
      </c>
      <c r="B83" s="73" t="s">
        <v>107</v>
      </c>
      <c r="C83" s="77">
        <f t="shared" ref="C83:N83" si="50" xml:space="preserve"> 211855.99746*C80 - 178462.85551*C79 + 59866.35075*C78 - 9901.7271*C77 + 808.21686*C76 - 25.47</f>
        <v>0.64580449344308022</v>
      </c>
      <c r="D83" s="77">
        <f t="shared" si="50"/>
        <v>0.64580449344308022</v>
      </c>
      <c r="E83" s="77">
        <f t="shared" si="50"/>
        <v>0.64580449344308022</v>
      </c>
      <c r="F83" s="77">
        <f t="shared" si="50"/>
        <v>0.64580449344308022</v>
      </c>
      <c r="G83" s="77">
        <f t="shared" si="50"/>
        <v>0.64580449344308022</v>
      </c>
      <c r="H83" s="77">
        <f t="shared" si="50"/>
        <v>0.68741348475533925</v>
      </c>
      <c r="I83" s="77">
        <f t="shared" si="50"/>
        <v>0.77420797674361097</v>
      </c>
      <c r="J83" s="77">
        <f t="shared" si="50"/>
        <v>0.92982063322040176</v>
      </c>
      <c r="K83" s="77">
        <f t="shared" si="50"/>
        <v>0.93176765481737789</v>
      </c>
      <c r="L83" s="77">
        <f t="shared" si="50"/>
        <v>0.93372182613512678</v>
      </c>
      <c r="M83" s="77">
        <f t="shared" si="50"/>
        <v>1.0403498335924724</v>
      </c>
      <c r="N83" s="77">
        <f t="shared" si="50"/>
        <v>20.475215799836889</v>
      </c>
    </row>
    <row r="84" spans="1:14" x14ac:dyDescent="0.25">
      <c r="A84" s="75" t="s">
        <v>230</v>
      </c>
      <c r="B84" s="73" t="s">
        <v>108</v>
      </c>
      <c r="C84" s="77">
        <f t="shared" ref="C84:N84" si="51" xml:space="preserve"> 189330.79305*C80 - 133987.07846*C79 + 36767.07838*C78 - 4746.53331*C77 + 281.6148*C76 - 5.18</f>
        <v>0.72480317679617201</v>
      </c>
      <c r="D84" s="77">
        <f t="shared" si="51"/>
        <v>0.72480317679617201</v>
      </c>
      <c r="E84" s="77">
        <f t="shared" si="51"/>
        <v>0.72480317679617201</v>
      </c>
      <c r="F84" s="77">
        <f t="shared" si="51"/>
        <v>0.72480317679617201</v>
      </c>
      <c r="G84" s="77">
        <f t="shared" si="51"/>
        <v>0.72480317679617201</v>
      </c>
      <c r="H84" s="77">
        <f t="shared" si="51"/>
        <v>0.76259938534082039</v>
      </c>
      <c r="I84" s="77">
        <f t="shared" si="51"/>
        <v>0.91860537253901953</v>
      </c>
      <c r="J84" s="77">
        <f t="shared" si="51"/>
        <v>1.1487213690169256</v>
      </c>
      <c r="K84" s="77">
        <f t="shared" si="51"/>
        <v>1.1513339127696156</v>
      </c>
      <c r="L84" s="77">
        <f t="shared" si="51"/>
        <v>1.1539523046827895</v>
      </c>
      <c r="M84" s="77">
        <f t="shared" si="51"/>
        <v>1.2931877923543453</v>
      </c>
      <c r="N84" s="77">
        <f t="shared" si="51"/>
        <v>34.007723669340471</v>
      </c>
    </row>
    <row r="85" spans="1:14" x14ac:dyDescent="0.25">
      <c r="A85" s="75" t="s">
        <v>231</v>
      </c>
      <c r="B85" s="73" t="s">
        <v>109</v>
      </c>
      <c r="C85" s="77">
        <f t="shared" ref="C85:N85" si="52" xml:space="preserve"> -183277.76453*C80 + 217604.57034*C79 - 91711.5592*C78 + 18157.61937*C77 - 1715.03079*C76 + 63.08</f>
        <v>0.83039626574954184</v>
      </c>
      <c r="D85" s="77">
        <f t="shared" si="52"/>
        <v>0.83039626574954184</v>
      </c>
      <c r="E85" s="77">
        <f t="shared" si="52"/>
        <v>0.83039626574954184</v>
      </c>
      <c r="F85" s="77">
        <f t="shared" si="52"/>
        <v>0.83039626574954184</v>
      </c>
      <c r="G85" s="77">
        <f t="shared" si="52"/>
        <v>0.83039626574954184</v>
      </c>
      <c r="H85" s="77">
        <f t="shared" si="52"/>
        <v>0.860470070515575</v>
      </c>
      <c r="I85" s="77">
        <f t="shared" si="52"/>
        <v>1.1181895367369208</v>
      </c>
      <c r="J85" s="77">
        <f t="shared" si="52"/>
        <v>1.4480808055124754</v>
      </c>
      <c r="K85" s="77">
        <f t="shared" si="52"/>
        <v>1.451727880278284</v>
      </c>
      <c r="L85" s="77">
        <f t="shared" si="52"/>
        <v>1.455384971133256</v>
      </c>
      <c r="M85" s="77">
        <f t="shared" si="52"/>
        <v>1.655332919824346</v>
      </c>
      <c r="N85" s="77">
        <f t="shared" si="52"/>
        <v>35.17716960736864</v>
      </c>
    </row>
    <row r="86" spans="1:14" x14ac:dyDescent="0.25">
      <c r="A86" s="75" t="s">
        <v>232</v>
      </c>
      <c r="B86" s="73" t="s">
        <v>211</v>
      </c>
      <c r="C86" s="77">
        <f xml:space="preserve"> 108656.82305*C80 - 92884.66951*C79 + 31771.52118*C78 - 5373.60627*C77 + 450.34486*C76 - 14.5</f>
        <v>0.50580590076415888</v>
      </c>
      <c r="D86" s="77">
        <f xml:space="preserve"> 108656.82305*D80 - 92884.66951*D79 + 31771.52118*D78 - 5373.60627*D77 + 450.34486*D76 - 14.5</f>
        <v>0.50580590076415888</v>
      </c>
      <c r="E86" s="77">
        <f t="shared" ref="E86:N86" si="53" xml:space="preserve"> 108656.82305*E80 - 92884.66951*E79 + 31771.52118*E78 - 5373.60627*E77 + 450.34486*E76 - 14.5</f>
        <v>0.50580590076415888</v>
      </c>
      <c r="F86" s="77">
        <f t="shared" si="53"/>
        <v>0.50580590076415888</v>
      </c>
      <c r="G86" s="77">
        <f t="shared" si="53"/>
        <v>0.50580590076415888</v>
      </c>
      <c r="H86" s="77">
        <f t="shared" si="53"/>
        <v>0.54454894660575093</v>
      </c>
      <c r="I86" s="77">
        <f t="shared" si="53"/>
        <v>0.6100268356705385</v>
      </c>
      <c r="J86" s="77">
        <f t="shared" si="53"/>
        <v>0.71286858623037119</v>
      </c>
      <c r="K86" s="77">
        <f t="shared" si="53"/>
        <v>0.71414482899045595</v>
      </c>
      <c r="L86" s="77">
        <f t="shared" si="53"/>
        <v>0.71542589381884625</v>
      </c>
      <c r="M86" s="77">
        <f t="shared" si="53"/>
        <v>0.78565278968768837</v>
      </c>
      <c r="N86" s="77">
        <f t="shared" si="53"/>
        <v>11.067725053788109</v>
      </c>
    </row>
    <row r="87" spans="1:14" x14ac:dyDescent="0.25">
      <c r="A87" s="75" t="s">
        <v>233</v>
      </c>
      <c r="B87" s="73" t="s">
        <v>110</v>
      </c>
      <c r="C87" s="77">
        <f t="shared" ref="C87:N87" si="54" xml:space="preserve"> 236068.11145*C80 - 206198.08468*C79 + 71647.62804*C78 - 12274.26804*C77 + 1036.91016*C76 - 34.06</f>
        <v>0.54375586870779102</v>
      </c>
      <c r="D87" s="77">
        <f t="shared" si="54"/>
        <v>0.54375586870779102</v>
      </c>
      <c r="E87" s="77">
        <f t="shared" si="54"/>
        <v>0.54375586870779102</v>
      </c>
      <c r="F87" s="77">
        <f t="shared" si="54"/>
        <v>0.54375586870779102</v>
      </c>
      <c r="G87" s="77">
        <f t="shared" si="54"/>
        <v>0.54375586870779102</v>
      </c>
      <c r="H87" s="77">
        <f t="shared" si="54"/>
        <v>0.59230751108879076</v>
      </c>
      <c r="I87" s="77">
        <f t="shared" si="54"/>
        <v>0.66374225343560056</v>
      </c>
      <c r="J87" s="77">
        <f t="shared" si="54"/>
        <v>0.80509376175757552</v>
      </c>
      <c r="K87" s="77">
        <f t="shared" si="54"/>
        <v>0.80695599190798362</v>
      </c>
      <c r="L87" s="77">
        <f t="shared" si="54"/>
        <v>0.80882659162995196</v>
      </c>
      <c r="M87" s="77">
        <f t="shared" si="54"/>
        <v>0.91263612641145642</v>
      </c>
      <c r="N87" s="77">
        <f t="shared" si="54"/>
        <v>18.585190406308016</v>
      </c>
    </row>
    <row r="88" spans="1:14" x14ac:dyDescent="0.25">
      <c r="A88" s="75" t="s">
        <v>234</v>
      </c>
      <c r="B88" s="73" t="s">
        <v>111</v>
      </c>
      <c r="C88" s="77">
        <f t="shared" ref="C88:N88" si="55" xml:space="preserve"> 153905.69184*C80 - 114943.493048*C79 + 33802.921153*C78 - 4780.049092*C77 + 322.837994*C76 - 7.67</f>
        <v>0.64428350034379811</v>
      </c>
      <c r="D88" s="77">
        <f t="shared" si="55"/>
        <v>0.64428350034379811</v>
      </c>
      <c r="E88" s="77">
        <f t="shared" si="55"/>
        <v>0.64428350034379811</v>
      </c>
      <c r="F88" s="77">
        <f t="shared" si="55"/>
        <v>0.64428350034379811</v>
      </c>
      <c r="G88" s="77">
        <f t="shared" si="55"/>
        <v>0.64428350034379811</v>
      </c>
      <c r="H88" s="77">
        <f t="shared" si="55"/>
        <v>0.67441137660013517</v>
      </c>
      <c r="I88" s="77">
        <f t="shared" si="55"/>
        <v>0.80199643303738277</v>
      </c>
      <c r="J88" s="77">
        <f t="shared" si="55"/>
        <v>1.0095794010304733</v>
      </c>
      <c r="K88" s="77">
        <f t="shared" si="55"/>
        <v>1.0120319145345196</v>
      </c>
      <c r="L88" s="77">
        <f t="shared" si="55"/>
        <v>1.0144914559707932</v>
      </c>
      <c r="M88" s="77">
        <f t="shared" si="55"/>
        <v>1.1468432467993512</v>
      </c>
      <c r="N88" s="77">
        <f t="shared" si="55"/>
        <v>24.967176863531179</v>
      </c>
    </row>
    <row r="89" spans="1:14" x14ac:dyDescent="0.25">
      <c r="A89" s="75" t="s">
        <v>235</v>
      </c>
      <c r="B89" s="73" t="s">
        <v>112</v>
      </c>
      <c r="C89" s="77">
        <f t="shared" ref="C89:N89" si="56">-9980220.15991*C81 + 10826099.46985*C80 - 4792166.95182*C79 + 1110018.19846*C78 - 141933.11234*C77 + 9505.46225*C76 - 260.06</f>
        <v>0.75358072768784723</v>
      </c>
      <c r="D89" s="77">
        <f t="shared" si="56"/>
        <v>0.75358072768784723</v>
      </c>
      <c r="E89" s="77">
        <f t="shared" si="56"/>
        <v>0.75358072768784723</v>
      </c>
      <c r="F89" s="77">
        <f t="shared" si="56"/>
        <v>0.75358072768784723</v>
      </c>
      <c r="G89" s="77">
        <f t="shared" si="56"/>
        <v>0.75358072768784723</v>
      </c>
      <c r="H89" s="77">
        <f t="shared" si="56"/>
        <v>0.80177531784300982</v>
      </c>
      <c r="I89" s="77">
        <f t="shared" si="56"/>
        <v>0.99293918338042886</v>
      </c>
      <c r="J89" s="77">
        <f t="shared" si="56"/>
        <v>1.3338996040142206</v>
      </c>
      <c r="K89" s="77">
        <f t="shared" si="56"/>
        <v>1.3377139570501981</v>
      </c>
      <c r="L89" s="77">
        <f t="shared" si="56"/>
        <v>1.3415334082887398</v>
      </c>
      <c r="M89" s="77">
        <f t="shared" si="56"/>
        <v>1.5399082823482217</v>
      </c>
      <c r="N89" s="77">
        <f t="shared" si="56"/>
        <v>-18.516942986341803</v>
      </c>
    </row>
    <row r="90" spans="1:14" x14ac:dyDescent="0.25">
      <c r="A90" s="75" t="s">
        <v>236</v>
      </c>
      <c r="B90" s="73" t="s">
        <v>212</v>
      </c>
      <c r="C90" s="77">
        <f xml:space="preserve"> 12205.28697*C80 - 8294.72385*C79 + 2539.32664*C78 - 405.17899*C77 + 34.1222*C76 - 0.78</f>
        <v>0.45175563711590416</v>
      </c>
      <c r="D90" s="77">
        <f t="shared" ref="D90:N90" si="57" xml:space="preserve"> 12205.28697*D80 - 8294.72385*D79 + 2539.32664*D78 - 405.17899*D77 + 34.1222*D76 - 0.78</f>
        <v>0.45175563711590416</v>
      </c>
      <c r="E90" s="77">
        <f t="shared" si="57"/>
        <v>0.45175563711590416</v>
      </c>
      <c r="F90" s="77">
        <f t="shared" si="57"/>
        <v>0.45175563711590416</v>
      </c>
      <c r="G90" s="77">
        <f t="shared" si="57"/>
        <v>0.45175563711590416</v>
      </c>
      <c r="H90" s="77">
        <f t="shared" si="57"/>
        <v>0.47573919536503362</v>
      </c>
      <c r="I90" s="77">
        <f t="shared" si="57"/>
        <v>0.52499146972678123</v>
      </c>
      <c r="J90" s="77">
        <f t="shared" si="57"/>
        <v>0.59799669853513504</v>
      </c>
      <c r="K90" s="77">
        <f t="shared" si="57"/>
        <v>0.59890985875208025</v>
      </c>
      <c r="L90" s="77">
        <f t="shared" si="57"/>
        <v>0.59982715458078162</v>
      </c>
      <c r="M90" s="77">
        <f t="shared" si="57"/>
        <v>0.65143462251428486</v>
      </c>
      <c r="N90" s="77">
        <f t="shared" si="57"/>
        <v>5.8350943736791239</v>
      </c>
    </row>
    <row r="91" spans="1:14" x14ac:dyDescent="0.25">
      <c r="A91" s="75" t="s">
        <v>237</v>
      </c>
      <c r="B91" s="73" t="s">
        <v>113</v>
      </c>
      <c r="C91" s="77">
        <f t="shared" ref="C91:N91" si="58" xml:space="preserve"> 78193.22061*C80 - 62747.6239*C79 + 20041.29771*C78 - 3113.11297*C77 + 235.21739*C76 - 6.47</f>
        <v>0.49297273005874853</v>
      </c>
      <c r="D91" s="77">
        <f t="shared" si="58"/>
        <v>0.49297273005874853</v>
      </c>
      <c r="E91" s="77">
        <f t="shared" si="58"/>
        <v>0.49297273005874853</v>
      </c>
      <c r="F91" s="77">
        <f t="shared" si="58"/>
        <v>0.49297273005874853</v>
      </c>
      <c r="G91" s="77">
        <f t="shared" si="58"/>
        <v>0.49297273005874853</v>
      </c>
      <c r="H91" s="77">
        <f t="shared" si="58"/>
        <v>0.5140344013296021</v>
      </c>
      <c r="I91" s="77">
        <f t="shared" si="58"/>
        <v>0.58787521904679263</v>
      </c>
      <c r="J91" s="77">
        <f t="shared" si="58"/>
        <v>0.71619165334074975</v>
      </c>
      <c r="K91" s="77">
        <f t="shared" si="58"/>
        <v>0.71776083164974036</v>
      </c>
      <c r="L91" s="77">
        <f t="shared" si="58"/>
        <v>0.71933537907746992</v>
      </c>
      <c r="M91" s="77">
        <f t="shared" si="58"/>
        <v>0.80495564628205241</v>
      </c>
      <c r="N91" s="77">
        <f t="shared" si="58"/>
        <v>11.146425629540445</v>
      </c>
    </row>
    <row r="92" spans="1:14" x14ac:dyDescent="0.25">
      <c r="A92" s="75" t="s">
        <v>238</v>
      </c>
      <c r="B92" s="73" t="s">
        <v>114</v>
      </c>
      <c r="C92" s="77">
        <f t="shared" ref="C92:N92" si="59" xml:space="preserve"> 112229.10217*C80 - 90275.82325*C79 + 29064.78003*C78 - 4576.65461*C77 + 352.54132*C76 - 10.15</f>
        <v>0.54809639383654307</v>
      </c>
      <c r="D92" s="77">
        <f t="shared" si="59"/>
        <v>0.54809639383654307</v>
      </c>
      <c r="E92" s="77">
        <f t="shared" si="59"/>
        <v>0.54809639383654307</v>
      </c>
      <c r="F92" s="77">
        <f t="shared" si="59"/>
        <v>0.54809639383654307</v>
      </c>
      <c r="G92" s="77">
        <f t="shared" si="59"/>
        <v>0.54809639383654307</v>
      </c>
      <c r="H92" s="77">
        <f t="shared" si="59"/>
        <v>0.58039223955985442</v>
      </c>
      <c r="I92" s="77">
        <f t="shared" si="59"/>
        <v>0.68295890115859059</v>
      </c>
      <c r="J92" s="77">
        <f t="shared" si="59"/>
        <v>0.86238043510451057</v>
      </c>
      <c r="K92" s="77">
        <f t="shared" si="59"/>
        <v>0.86460301276347273</v>
      </c>
      <c r="L92" s="77">
        <f t="shared" si="59"/>
        <v>0.86683390526541437</v>
      </c>
      <c r="M92" s="77">
        <f t="shared" si="59"/>
        <v>0.98920015065178823</v>
      </c>
      <c r="N92" s="77">
        <f t="shared" si="59"/>
        <v>16.376263675551918</v>
      </c>
    </row>
    <row r="93" spans="1:14" x14ac:dyDescent="0.25">
      <c r="A93" s="75" t="s">
        <v>239</v>
      </c>
      <c r="B93" s="73" t="s">
        <v>115</v>
      </c>
      <c r="C93" s="77">
        <f t="shared" ref="C93:N93" si="60" xml:space="preserve"> -6333849.33191*C81 + 7003086.05505*C80 - 3170231.50477*C79 + 753388.16765*C78 - 99065.81153*C77 + 6833.52117*C76 - 192.64</f>
        <v>0.65682139961882058</v>
      </c>
      <c r="D93" s="77">
        <f t="shared" si="60"/>
        <v>0.65682139961882058</v>
      </c>
      <c r="E93" s="77">
        <f t="shared" si="60"/>
        <v>0.65682139961882058</v>
      </c>
      <c r="F93" s="77">
        <f t="shared" si="60"/>
        <v>0.65682139961882058</v>
      </c>
      <c r="G93" s="77">
        <f t="shared" si="60"/>
        <v>0.65682139961882058</v>
      </c>
      <c r="H93" s="77">
        <f t="shared" si="60"/>
        <v>0.70320904439290643</v>
      </c>
      <c r="I93" s="77">
        <f t="shared" si="60"/>
        <v>0.83208417646858379</v>
      </c>
      <c r="J93" s="77">
        <f t="shared" si="60"/>
        <v>1.1219817642137286</v>
      </c>
      <c r="K93" s="77">
        <f t="shared" si="60"/>
        <v>1.1255870263381667</v>
      </c>
      <c r="L93" s="77">
        <f t="shared" si="60"/>
        <v>1.1292040192357717</v>
      </c>
      <c r="M93" s="77">
        <f t="shared" si="60"/>
        <v>1.3248529504340922</v>
      </c>
      <c r="N93" s="77">
        <f t="shared" si="60"/>
        <v>-7.9770043277518425</v>
      </c>
    </row>
    <row r="94" spans="1:14" x14ac:dyDescent="0.25">
      <c r="A94" s="75" t="s">
        <v>240</v>
      </c>
      <c r="B94" s="73" t="s">
        <v>213</v>
      </c>
      <c r="C94" s="77">
        <f xml:space="preserve"> 53881.87664*C80 - 47719.69516*C79 + 17198.62503*C78 - 3090.1397*C77 + 275.82793*C76 - 9.37</f>
        <v>0.39616149627084063</v>
      </c>
      <c r="D94" s="77">
        <f t="shared" ref="D94:N94" si="61" xml:space="preserve"> 53881.87664*D80 - 47719.69516*D79 + 17198.62503*D78 - 3090.1397*D77 + 275.82793*D76 - 9.37</f>
        <v>0.39616149627084063</v>
      </c>
      <c r="E94" s="77">
        <f t="shared" si="61"/>
        <v>0.39616149627084063</v>
      </c>
      <c r="F94" s="77">
        <f t="shared" si="61"/>
        <v>0.39616149627084063</v>
      </c>
      <c r="G94" s="77">
        <f t="shared" si="61"/>
        <v>0.39616149627084063</v>
      </c>
      <c r="H94" s="77">
        <f t="shared" si="61"/>
        <v>0.42494905796745819</v>
      </c>
      <c r="I94" s="77">
        <f t="shared" si="61"/>
        <v>0.45842900459513025</v>
      </c>
      <c r="J94" s="77">
        <f t="shared" si="61"/>
        <v>0.51182393320498498</v>
      </c>
      <c r="K94" s="77">
        <f t="shared" si="61"/>
        <v>0.51254996681472953</v>
      </c>
      <c r="L94" s="77">
        <f t="shared" si="61"/>
        <v>0.51328029359846106</v>
      </c>
      <c r="M94" s="77">
        <f t="shared" si="61"/>
        <v>0.55557620583745937</v>
      </c>
      <c r="N94" s="77">
        <f t="shared" si="61"/>
        <v>6.4494831570452842</v>
      </c>
    </row>
    <row r="95" spans="1:14" x14ac:dyDescent="0.25">
      <c r="A95" s="75" t="s">
        <v>241</v>
      </c>
      <c r="B95" s="73" t="s">
        <v>116</v>
      </c>
      <c r="C95" s="77">
        <f t="shared" ref="C95:N95" si="62" xml:space="preserve"> -13296.8167*C80 + 17338.63401*C79 - 7542.52455*C78 + 1552.59022*C77 - 152.78609*C76 + 6.19</f>
        <v>0.4439577446041616</v>
      </c>
      <c r="D95" s="77">
        <f t="shared" si="62"/>
        <v>0.4439577446041616</v>
      </c>
      <c r="E95" s="77">
        <f t="shared" si="62"/>
        <v>0.4439577446041616</v>
      </c>
      <c r="F95" s="77">
        <f t="shared" si="62"/>
        <v>0.4439577446041616</v>
      </c>
      <c r="G95" s="77">
        <f t="shared" si="62"/>
        <v>0.4439577446041616</v>
      </c>
      <c r="H95" s="77">
        <f t="shared" si="62"/>
        <v>0.45827779513697298</v>
      </c>
      <c r="I95" s="77">
        <f t="shared" si="62"/>
        <v>0.52521959385569428</v>
      </c>
      <c r="J95" s="77">
        <f t="shared" si="62"/>
        <v>0.63180289836374381</v>
      </c>
      <c r="K95" s="77">
        <f t="shared" si="62"/>
        <v>0.63309222523196862</v>
      </c>
      <c r="L95" s="77">
        <f t="shared" si="62"/>
        <v>0.6343863009364652</v>
      </c>
      <c r="M95" s="77">
        <f t="shared" si="62"/>
        <v>0.70565274488715257</v>
      </c>
      <c r="N95" s="77">
        <f t="shared" si="62"/>
        <v>6.3222870526361516</v>
      </c>
    </row>
    <row r="96" spans="1:14" x14ac:dyDescent="0.25">
      <c r="A96" s="75" t="s">
        <v>242</v>
      </c>
      <c r="B96" s="73" t="s">
        <v>117</v>
      </c>
      <c r="C96" s="77">
        <f t="shared" ref="C96:N96" si="63" xml:space="preserve"> 57255.69581*C80 - 44678.74747*C79 + 14023.41918*C78 - 2111.06396*C77 + 151.68701*C76 - 3.73</f>
        <v>0.46570837364019413</v>
      </c>
      <c r="D96" s="77">
        <f t="shared" si="63"/>
        <v>0.46570837364019413</v>
      </c>
      <c r="E96" s="77">
        <f t="shared" si="63"/>
        <v>0.46570837364019413</v>
      </c>
      <c r="F96" s="77">
        <f t="shared" si="63"/>
        <v>0.46570837364019413</v>
      </c>
      <c r="G96" s="77">
        <f t="shared" si="63"/>
        <v>0.46570837364019413</v>
      </c>
      <c r="H96" s="77">
        <f t="shared" si="63"/>
        <v>0.49345297606570826</v>
      </c>
      <c r="I96" s="77">
        <f t="shared" si="63"/>
        <v>0.5948680386749321</v>
      </c>
      <c r="J96" s="77">
        <f t="shared" si="63"/>
        <v>0.77202575990670086</v>
      </c>
      <c r="K96" s="77">
        <f t="shared" si="63"/>
        <v>0.77422143659018205</v>
      </c>
      <c r="L96" s="77">
        <f t="shared" si="63"/>
        <v>0.77642546870698981</v>
      </c>
      <c r="M96" s="77">
        <f t="shared" si="63"/>
        <v>0.89754924726812435</v>
      </c>
      <c r="N96" s="77">
        <f t="shared" si="63"/>
        <v>11.783905482145865</v>
      </c>
    </row>
    <row r="97" spans="1:14" x14ac:dyDescent="0.25">
      <c r="A97" s="75" t="s">
        <v>243</v>
      </c>
      <c r="B97" s="73" t="s">
        <v>118</v>
      </c>
      <c r="C97" s="77">
        <f t="shared" ref="C97:N97" si="64" xml:space="preserve"> 143089.62452*C80 - 117343.50532*C79 + 38649.35375*C78 - 6217.22547*C77 + 488.33352*C76 - 14.52</f>
        <v>0.56623739370087023</v>
      </c>
      <c r="D97" s="77">
        <f t="shared" si="64"/>
        <v>0.56623739370087023</v>
      </c>
      <c r="E97" s="77">
        <f t="shared" si="64"/>
        <v>0.56623739370087023</v>
      </c>
      <c r="F97" s="77">
        <f t="shared" si="64"/>
        <v>0.56623739370087023</v>
      </c>
      <c r="G97" s="77">
        <f t="shared" si="64"/>
        <v>0.56623739370087023</v>
      </c>
      <c r="H97" s="77">
        <f t="shared" si="64"/>
        <v>0.61310170000922071</v>
      </c>
      <c r="I97" s="77">
        <f t="shared" si="64"/>
        <v>0.76347349917082497</v>
      </c>
      <c r="J97" s="77">
        <f t="shared" si="64"/>
        <v>1.0361082432000153</v>
      </c>
      <c r="K97" s="77">
        <f t="shared" si="64"/>
        <v>1.0395379042278385</v>
      </c>
      <c r="L97" s="77">
        <f t="shared" si="64"/>
        <v>1.0429813714711251</v>
      </c>
      <c r="M97" s="77">
        <f t="shared" si="64"/>
        <v>1.2330692449392124</v>
      </c>
      <c r="N97" s="77">
        <f t="shared" si="64"/>
        <v>21.258135193944394</v>
      </c>
    </row>
    <row r="98" spans="1:14" x14ac:dyDescent="0.25">
      <c r="A98" s="75" t="s">
        <v>244</v>
      </c>
      <c r="B98" s="73" t="s">
        <v>214</v>
      </c>
      <c r="C98" s="77">
        <f xml:space="preserve"> 30265.1424899999*C80 - 26816.90085*C79 + 9821.16503*C78 - 1803.67859*C77 + 165.46921*C76 - 5.71</f>
        <v>0.33664770919116993</v>
      </c>
      <c r="D98" s="77">
        <f xml:space="preserve"> 30265.1424899999*D80 - 26816.90085*D79 + 9821.16503*D78 - 1803.67859*D77 + 165.46921*D76 - 5.71</f>
        <v>0.33664770919116993</v>
      </c>
      <c r="E98" s="77">
        <f t="shared" ref="E98:N98" si="65" xml:space="preserve"> 30265.1424899999*E80 - 26816.90085*E79 + 9821.16503*E78 - 1803.67859*E77 + 165.46921*E76 - 5.71</f>
        <v>0.33664770919116993</v>
      </c>
      <c r="F98" s="77">
        <f t="shared" si="65"/>
        <v>0.33664770919116993</v>
      </c>
      <c r="G98" s="77">
        <f t="shared" si="65"/>
        <v>0.33664770919116993</v>
      </c>
      <c r="H98" s="77">
        <f t="shared" si="65"/>
        <v>0.36455047778609195</v>
      </c>
      <c r="I98" s="77">
        <f t="shared" si="65"/>
        <v>0.39969954855701761</v>
      </c>
      <c r="J98" s="77">
        <f t="shared" si="65"/>
        <v>0.44849832660988032</v>
      </c>
      <c r="K98" s="77">
        <f t="shared" si="65"/>
        <v>0.44913283536612614</v>
      </c>
      <c r="L98" s="77">
        <f t="shared" si="65"/>
        <v>0.44977072562818154</v>
      </c>
      <c r="M98" s="77">
        <f t="shared" si="65"/>
        <v>0.48630259663210129</v>
      </c>
      <c r="N98" s="77">
        <f t="shared" si="65"/>
        <v>4.7207755952452795</v>
      </c>
    </row>
    <row r="99" spans="1:14" x14ac:dyDescent="0.25">
      <c r="A99" s="75" t="s">
        <v>245</v>
      </c>
      <c r="B99" s="73" t="s">
        <v>119</v>
      </c>
      <c r="C99" s="77">
        <f t="shared" ref="C99:N99" si="66" xml:space="preserve"> 54477.25649*C80 - 47053.5012*C79 + 16421.96104*C78 - 2825.53995*C77 + 239.64014*C76 - 7.66</f>
        <v>0.38474465697996862</v>
      </c>
      <c r="D99" s="77">
        <f t="shared" si="66"/>
        <v>0.38474465697996862</v>
      </c>
      <c r="E99" s="77">
        <f t="shared" si="66"/>
        <v>0.38474465697996862</v>
      </c>
      <c r="F99" s="77">
        <f t="shared" si="66"/>
        <v>0.38474465697996862</v>
      </c>
      <c r="G99" s="77">
        <f t="shared" si="66"/>
        <v>0.38474465697996862</v>
      </c>
      <c r="H99" s="77">
        <f t="shared" si="66"/>
        <v>0.40836769042580201</v>
      </c>
      <c r="I99" s="77">
        <f t="shared" si="66"/>
        <v>0.45736148960211054</v>
      </c>
      <c r="J99" s="77">
        <f t="shared" si="66"/>
        <v>0.54473173382029572</v>
      </c>
      <c r="K99" s="77">
        <f t="shared" si="66"/>
        <v>0.54586285827938852</v>
      </c>
      <c r="L99" s="77">
        <f t="shared" si="66"/>
        <v>0.54699925490264789</v>
      </c>
      <c r="M99" s="77">
        <f t="shared" si="66"/>
        <v>0.61071219825106127</v>
      </c>
      <c r="N99" s="77">
        <f t="shared" si="66"/>
        <v>7.2079923798344474</v>
      </c>
    </row>
    <row r="100" spans="1:14" x14ac:dyDescent="0.25">
      <c r="A100" s="75" t="s">
        <v>246</v>
      </c>
      <c r="B100" s="73" t="s">
        <v>120</v>
      </c>
      <c r="C100" s="77">
        <f t="shared" ref="C100:N100" si="67" xml:space="preserve"> 76208.6211*C80 - 64528.35091*C79 + 21766.90698*C78 - 3544.03862*C77 + 277.89526*C76 - 8.01</f>
        <v>0.43220584929792061</v>
      </c>
      <c r="D100" s="77">
        <f t="shared" si="67"/>
        <v>0.43220584929792061</v>
      </c>
      <c r="E100" s="77">
        <f t="shared" si="67"/>
        <v>0.43220584929792061</v>
      </c>
      <c r="F100" s="77">
        <f t="shared" si="67"/>
        <v>0.43220584929792061</v>
      </c>
      <c r="G100" s="77">
        <f t="shared" si="67"/>
        <v>0.43220584929792061</v>
      </c>
      <c r="H100" s="77">
        <f t="shared" si="67"/>
        <v>0.4477313349163321</v>
      </c>
      <c r="I100" s="77">
        <f t="shared" si="67"/>
        <v>0.52706321156002467</v>
      </c>
      <c r="J100" s="77">
        <f t="shared" si="67"/>
        <v>0.68991363451202936</v>
      </c>
      <c r="K100" s="77">
        <f t="shared" si="67"/>
        <v>0.69199791823184675</v>
      </c>
      <c r="L100" s="77">
        <f t="shared" si="67"/>
        <v>0.69409087782299927</v>
      </c>
      <c r="M100" s="77">
        <f t="shared" si="67"/>
        <v>0.80973074635400444</v>
      </c>
      <c r="N100" s="77">
        <f t="shared" si="67"/>
        <v>10.349835045970101</v>
      </c>
    </row>
    <row r="101" spans="1:14" x14ac:dyDescent="0.25">
      <c r="A101" s="75" t="s">
        <v>247</v>
      </c>
      <c r="B101" s="73" t="s">
        <v>121</v>
      </c>
      <c r="C101" s="77">
        <f t="shared" ref="C101:N101" si="68" xml:space="preserve"> 73827.1017*C80 - 60714.3115*C79 + 20349.36168*C78 - 3304.30929*C77 + 259.49856*C76 - 7.45</f>
        <v>0.51880531142144104</v>
      </c>
      <c r="D101" s="77">
        <f t="shared" si="68"/>
        <v>0.51880531142144104</v>
      </c>
      <c r="E101" s="77">
        <f t="shared" si="68"/>
        <v>0.51880531142144104</v>
      </c>
      <c r="F101" s="77">
        <f t="shared" si="68"/>
        <v>0.51880531142144104</v>
      </c>
      <c r="G101" s="77">
        <f t="shared" si="68"/>
        <v>0.51880531142144104</v>
      </c>
      <c r="H101" s="77">
        <f t="shared" si="68"/>
        <v>0.55880287955773067</v>
      </c>
      <c r="I101" s="77">
        <f t="shared" si="68"/>
        <v>0.69335418341640587</v>
      </c>
      <c r="J101" s="77">
        <f t="shared" si="68"/>
        <v>0.94067217174888196</v>
      </c>
      <c r="K101" s="77">
        <f t="shared" si="68"/>
        <v>0.94382023580158414</v>
      </c>
      <c r="L101" s="77">
        <f t="shared" si="68"/>
        <v>0.94698190352344636</v>
      </c>
      <c r="M101" s="77">
        <f t="shared" si="68"/>
        <v>1.1228646457439906</v>
      </c>
      <c r="N101" s="77">
        <f t="shared" si="68"/>
        <v>15.123098854973495</v>
      </c>
    </row>
    <row r="102" spans="1:14" x14ac:dyDescent="0.25">
      <c r="A102" s="75" t="s">
        <v>248</v>
      </c>
      <c r="B102" s="73" t="s">
        <v>219</v>
      </c>
      <c r="C102" s="77">
        <f xml:space="preserve"> 40733.9049*C80 - 36751.17452*C79 + 13395.20097*C78 - 2415.4317*C77 + 215.01129*C76 - 7.26</f>
        <v>0.29891195010047689</v>
      </c>
      <c r="D102" s="77">
        <f t="shared" ref="D102:N102" si="69" xml:space="preserve"> 40733.9049*D80 - 36751.17452*D79 + 13395.20097*D78 - 2415.4317*D77 + 215.01129*D76 - 7.26</f>
        <v>0.29891195010047689</v>
      </c>
      <c r="E102" s="77">
        <f t="shared" si="69"/>
        <v>0.29891195010047689</v>
      </c>
      <c r="F102" s="77">
        <f t="shared" si="69"/>
        <v>0.29891195010047689</v>
      </c>
      <c r="G102" s="77">
        <f t="shared" si="69"/>
        <v>0.29891195010047689</v>
      </c>
      <c r="H102" s="77">
        <f t="shared" si="69"/>
        <v>0.31855532290960475</v>
      </c>
      <c r="I102" s="77">
        <f t="shared" si="69"/>
        <v>0.34407850561900766</v>
      </c>
      <c r="J102" s="77">
        <f t="shared" si="69"/>
        <v>0.38931333384438993</v>
      </c>
      <c r="K102" s="77">
        <f t="shared" si="69"/>
        <v>0.38993039407342245</v>
      </c>
      <c r="L102" s="77">
        <f t="shared" si="69"/>
        <v>0.39055099172283825</v>
      </c>
      <c r="M102" s="77">
        <f t="shared" si="69"/>
        <v>0.4262438402865012</v>
      </c>
      <c r="N102" s="77">
        <f t="shared" si="69"/>
        <v>4.4536605762765102</v>
      </c>
    </row>
    <row r="103" spans="1:14" x14ac:dyDescent="0.25">
      <c r="A103" s="75" t="s">
        <v>249</v>
      </c>
      <c r="B103" s="73" t="s">
        <v>141</v>
      </c>
      <c r="C103" s="77">
        <f t="shared" ref="C103:N103" si="70" xml:space="preserve"> 58644.91546*C80 - 51277.08978*C79+ 18140.63323*C78 - 3175.6924*C77 + 274.28544*C76 - 9.02</f>
        <v>0.33775228503347066</v>
      </c>
      <c r="D103" s="77">
        <f t="shared" si="70"/>
        <v>0.33775228503347066</v>
      </c>
      <c r="E103" s="77">
        <f t="shared" si="70"/>
        <v>0.33775228503347066</v>
      </c>
      <c r="F103" s="77">
        <f t="shared" si="70"/>
        <v>0.33775228503347066</v>
      </c>
      <c r="G103" s="77">
        <f t="shared" si="70"/>
        <v>0.33775228503347066</v>
      </c>
      <c r="H103" s="77">
        <f t="shared" si="70"/>
        <v>0.3580899876167507</v>
      </c>
      <c r="I103" s="77">
        <f t="shared" si="70"/>
        <v>0.39296051222506989</v>
      </c>
      <c r="J103" s="77">
        <f t="shared" si="70"/>
        <v>0.4617043556117828</v>
      </c>
      <c r="K103" s="77">
        <f t="shared" si="70"/>
        <v>0.4626386195478851</v>
      </c>
      <c r="L103" s="77">
        <f t="shared" si="70"/>
        <v>0.46357807647144611</v>
      </c>
      <c r="M103" s="77">
        <f t="shared" si="70"/>
        <v>0.51738466701838703</v>
      </c>
      <c r="N103" s="77">
        <f t="shared" si="70"/>
        <v>7.0931345839390723</v>
      </c>
    </row>
    <row r="104" spans="1:14" x14ac:dyDescent="0.25">
      <c r="A104" s="75" t="s">
        <v>250</v>
      </c>
      <c r="B104" s="161" t="s">
        <v>142</v>
      </c>
      <c r="C104" s="165">
        <f xml:space="preserve"> 29372.07272*C80 - 22669.98997*C79 + 6956.69784*C78 - 960.8162*C77 + 55.83313*C76 - 0.51</f>
        <v>0.40541822724710452</v>
      </c>
      <c r="D104" s="165">
        <f t="shared" ref="D104:N104" si="71" xml:space="preserve"> 29372.07272*D80 - 22669.98997*D79 + 6956.69784*D78 - 960.8162*D77 + 55.83313*D76 - 0.51</f>
        <v>0.40541822724710452</v>
      </c>
      <c r="E104" s="165">
        <f t="shared" si="71"/>
        <v>0.40541822724710452</v>
      </c>
      <c r="F104" s="165">
        <f t="shared" si="71"/>
        <v>0.40541822724710452</v>
      </c>
      <c r="G104" s="165">
        <f t="shared" si="71"/>
        <v>0.40541822724710452</v>
      </c>
      <c r="H104" s="165">
        <f t="shared" si="71"/>
        <v>0.41363027079978276</v>
      </c>
      <c r="I104" s="165">
        <f t="shared" si="71"/>
        <v>0.48944370856037955</v>
      </c>
      <c r="J104" s="165">
        <f t="shared" si="71"/>
        <v>0.6412350724007625</v>
      </c>
      <c r="K104" s="165">
        <f t="shared" si="71"/>
        <v>0.64315399420121699</v>
      </c>
      <c r="L104" s="165">
        <f t="shared" si="71"/>
        <v>0.64508063888770883</v>
      </c>
      <c r="M104" s="165">
        <f t="shared" si="71"/>
        <v>0.75133336276453533</v>
      </c>
      <c r="N104" s="165">
        <f t="shared" si="71"/>
        <v>7.7703451915223756</v>
      </c>
    </row>
    <row r="105" spans="1:14" x14ac:dyDescent="0.25">
      <c r="A105" s="75" t="s">
        <v>251</v>
      </c>
      <c r="B105" s="161" t="s">
        <v>143</v>
      </c>
      <c r="C105" s="162">
        <f xml:space="preserve"> 4564.57887*C80 - 4085.11767*C79 + 2049.36962*C78 - 391.39311*C77 + 30.6636*C76 - 0.38</f>
        <v>0.47137324824678373</v>
      </c>
      <c r="D105" s="162">
        <f t="shared" ref="D105:N105" si="72" xml:space="preserve"> 4564.57887*D80 - 4085.11767*D79 + 2049.36962*D78 - 391.39311*D77 + 30.6636*D76 - 0.38</f>
        <v>0.47137324824678373</v>
      </c>
      <c r="E105" s="162">
        <f t="shared" si="72"/>
        <v>0.47137324824678373</v>
      </c>
      <c r="F105" s="162">
        <f t="shared" si="72"/>
        <v>0.47137324824678373</v>
      </c>
      <c r="G105" s="162">
        <f t="shared" si="72"/>
        <v>0.47137324824678373</v>
      </c>
      <c r="H105" s="162">
        <f t="shared" si="72"/>
        <v>0.50450408479750741</v>
      </c>
      <c r="I105" s="162">
        <f t="shared" si="72"/>
        <v>0.62323490715312146</v>
      </c>
      <c r="J105" s="162">
        <f t="shared" si="72"/>
        <v>0.84523615772790428</v>
      </c>
      <c r="K105" s="162">
        <f t="shared" si="72"/>
        <v>0.84810262501054534</v>
      </c>
      <c r="L105" s="162">
        <f t="shared" si="72"/>
        <v>0.85098249341649967</v>
      </c>
      <c r="M105" s="162">
        <f t="shared" si="72"/>
        <v>1.0126601153150032</v>
      </c>
      <c r="N105" s="162">
        <f t="shared" si="72"/>
        <v>8.9880629149859868</v>
      </c>
    </row>
    <row r="106" spans="1:14" x14ac:dyDescent="0.25">
      <c r="A106" s="179"/>
      <c r="B106" s="59" t="s">
        <v>220</v>
      </c>
      <c r="C106" s="67">
        <f t="shared" ref="C106:N106" si="73">($C12-0.75)*($C12-0.8)/0.005</f>
        <v>-0.12062693802647741</v>
      </c>
      <c r="D106" s="67">
        <f t="shared" si="73"/>
        <v>-0.12062693802647741</v>
      </c>
      <c r="E106" s="67">
        <f t="shared" si="73"/>
        <v>-0.12062693802647741</v>
      </c>
      <c r="F106" s="67">
        <f t="shared" si="73"/>
        <v>-0.12062693802647741</v>
      </c>
      <c r="G106" s="67">
        <f t="shared" si="73"/>
        <v>-0.12062693802647741</v>
      </c>
      <c r="H106" s="67">
        <f t="shared" si="73"/>
        <v>-0.12062693802647741</v>
      </c>
      <c r="I106" s="67">
        <f t="shared" si="73"/>
        <v>-0.12062693802647741</v>
      </c>
      <c r="J106" s="67">
        <f t="shared" si="73"/>
        <v>-0.12062693802647741</v>
      </c>
      <c r="K106" s="67">
        <f t="shared" si="73"/>
        <v>-0.12062693802647741</v>
      </c>
      <c r="L106" s="67">
        <f t="shared" si="73"/>
        <v>-0.12062693802647741</v>
      </c>
      <c r="M106" s="67">
        <f t="shared" si="73"/>
        <v>-0.12062693802647741</v>
      </c>
      <c r="N106" s="67">
        <f t="shared" si="73"/>
        <v>-0.12062693802647741</v>
      </c>
    </row>
    <row r="107" spans="1:14" x14ac:dyDescent="0.25">
      <c r="A107" s="179"/>
      <c r="B107" s="59" t="s">
        <v>144</v>
      </c>
      <c r="C107" s="67">
        <f t="shared" ref="C107:N107" si="74">($C12-0.7)*($C12-0.8)/0.0025</f>
        <v>-0.8347745900528265</v>
      </c>
      <c r="D107" s="67">
        <f t="shared" si="74"/>
        <v>-0.8347745900528265</v>
      </c>
      <c r="E107" s="67">
        <f t="shared" si="74"/>
        <v>-0.8347745900528265</v>
      </c>
      <c r="F107" s="67">
        <f t="shared" si="74"/>
        <v>-0.8347745900528265</v>
      </c>
      <c r="G107" s="67">
        <f t="shared" si="74"/>
        <v>-0.8347745900528265</v>
      </c>
      <c r="H107" s="67">
        <f t="shared" si="74"/>
        <v>-0.8347745900528265</v>
      </c>
      <c r="I107" s="67">
        <f t="shared" si="74"/>
        <v>-0.8347745900528265</v>
      </c>
      <c r="J107" s="67">
        <f t="shared" si="74"/>
        <v>-0.8347745900528265</v>
      </c>
      <c r="K107" s="67">
        <f t="shared" si="74"/>
        <v>-0.8347745900528265</v>
      </c>
      <c r="L107" s="67">
        <f t="shared" si="74"/>
        <v>-0.8347745900528265</v>
      </c>
      <c r="M107" s="67">
        <f t="shared" si="74"/>
        <v>-0.8347745900528265</v>
      </c>
      <c r="N107" s="67">
        <f t="shared" si="74"/>
        <v>-0.8347745900528265</v>
      </c>
    </row>
    <row r="108" spans="1:14" x14ac:dyDescent="0.25">
      <c r="A108" s="168"/>
      <c r="B108" s="169" t="s">
        <v>145</v>
      </c>
      <c r="C108" s="167">
        <f t="shared" ref="C108:N108" si="75">($C12-0.7)*($C12-0.75)/0.005</f>
        <v>0.28585234797365278</v>
      </c>
      <c r="D108" s="167">
        <f t="shared" si="75"/>
        <v>0.28585234797365278</v>
      </c>
      <c r="E108" s="167">
        <f t="shared" si="75"/>
        <v>0.28585234797365278</v>
      </c>
      <c r="F108" s="167">
        <f t="shared" si="75"/>
        <v>0.28585234797365278</v>
      </c>
      <c r="G108" s="167">
        <f t="shared" si="75"/>
        <v>0.28585234797365278</v>
      </c>
      <c r="H108" s="167">
        <f t="shared" si="75"/>
        <v>0.28585234797365278</v>
      </c>
      <c r="I108" s="167">
        <f t="shared" si="75"/>
        <v>0.28585234797365278</v>
      </c>
      <c r="J108" s="167">
        <f t="shared" si="75"/>
        <v>0.28585234797365278</v>
      </c>
      <c r="K108" s="167">
        <f t="shared" si="75"/>
        <v>0.28585234797365278</v>
      </c>
      <c r="L108" s="167">
        <f t="shared" si="75"/>
        <v>0.28585234797365278</v>
      </c>
      <c r="M108" s="167">
        <f t="shared" si="75"/>
        <v>0.28585234797365278</v>
      </c>
      <c r="N108" s="167">
        <f t="shared" si="75"/>
        <v>0.28585234797365278</v>
      </c>
    </row>
    <row r="109" spans="1:14" x14ac:dyDescent="0.25">
      <c r="A109" s="168"/>
      <c r="B109" s="169" t="s">
        <v>146</v>
      </c>
      <c r="C109" s="167">
        <f t="shared" ref="C109:N109" si="76">($C12-0.8)*($C12-0.85)/0.005</f>
        <v>0.47289377597339355</v>
      </c>
      <c r="D109" s="167">
        <f t="shared" si="76"/>
        <v>0.47289377597339355</v>
      </c>
      <c r="E109" s="167">
        <f t="shared" si="76"/>
        <v>0.47289377597339355</v>
      </c>
      <c r="F109" s="167">
        <f t="shared" si="76"/>
        <v>0.47289377597339355</v>
      </c>
      <c r="G109" s="167">
        <f t="shared" si="76"/>
        <v>0.47289377597339355</v>
      </c>
      <c r="H109" s="167">
        <f t="shared" si="76"/>
        <v>0.47289377597339355</v>
      </c>
      <c r="I109" s="167">
        <f t="shared" si="76"/>
        <v>0.47289377597339355</v>
      </c>
      <c r="J109" s="167">
        <f t="shared" si="76"/>
        <v>0.47289377597339355</v>
      </c>
      <c r="K109" s="167">
        <f t="shared" si="76"/>
        <v>0.47289377597339355</v>
      </c>
      <c r="L109" s="167">
        <f t="shared" si="76"/>
        <v>0.47289377597339355</v>
      </c>
      <c r="M109" s="167">
        <f t="shared" si="76"/>
        <v>0.47289377597339355</v>
      </c>
      <c r="N109" s="167">
        <f t="shared" si="76"/>
        <v>0.47289377597339355</v>
      </c>
    </row>
    <row r="110" spans="1:14" x14ac:dyDescent="0.25">
      <c r="A110" s="168"/>
      <c r="B110" s="169" t="s">
        <v>147</v>
      </c>
      <c r="C110" s="167">
        <f t="shared" ref="C110:N110" si="77">($C12-0.75)*($C12-0.85)/0.0025</f>
        <v>-0.64773316205308418</v>
      </c>
      <c r="D110" s="167">
        <f t="shared" si="77"/>
        <v>-0.64773316205308418</v>
      </c>
      <c r="E110" s="167">
        <f t="shared" si="77"/>
        <v>-0.64773316205308418</v>
      </c>
      <c r="F110" s="167">
        <f t="shared" si="77"/>
        <v>-0.64773316205308418</v>
      </c>
      <c r="G110" s="167">
        <f t="shared" si="77"/>
        <v>-0.64773316205308418</v>
      </c>
      <c r="H110" s="167">
        <f t="shared" si="77"/>
        <v>-0.64773316205308418</v>
      </c>
      <c r="I110" s="167">
        <f t="shared" si="77"/>
        <v>-0.64773316205308418</v>
      </c>
      <c r="J110" s="167">
        <f t="shared" si="77"/>
        <v>-0.64773316205308418</v>
      </c>
      <c r="K110" s="167">
        <f t="shared" si="77"/>
        <v>-0.64773316205308418</v>
      </c>
      <c r="L110" s="167">
        <f t="shared" si="77"/>
        <v>-0.64773316205308418</v>
      </c>
      <c r="M110" s="167">
        <f t="shared" si="77"/>
        <v>-0.64773316205308418</v>
      </c>
      <c r="N110" s="167">
        <f t="shared" si="77"/>
        <v>-0.64773316205308418</v>
      </c>
    </row>
    <row r="111" spans="1:14" x14ac:dyDescent="0.25">
      <c r="A111" s="180" t="s">
        <v>252</v>
      </c>
      <c r="B111" s="187" t="s">
        <v>221</v>
      </c>
      <c r="C111" s="181">
        <f t="shared" ref="C111:N111" si="78">IF($C12&lt;0.775,C106*C82-C107*C83+C108*C84,C109*C83-C110*C84+C106*C85)</f>
        <v>0.67971415074026098</v>
      </c>
      <c r="D111" s="181">
        <f t="shared" si="78"/>
        <v>0.67971415074026098</v>
      </c>
      <c r="E111" s="181">
        <f t="shared" si="78"/>
        <v>0.67971415074026098</v>
      </c>
      <c r="F111" s="181">
        <f t="shared" si="78"/>
        <v>0.67971415074026098</v>
      </c>
      <c r="G111" s="181">
        <f t="shared" si="78"/>
        <v>0.67971415074026098</v>
      </c>
      <c r="H111" s="181">
        <f t="shared" si="78"/>
        <v>0.71944127141616487</v>
      </c>
      <c r="I111" s="181">
        <f t="shared" si="78"/>
        <v>0.82642428258066225</v>
      </c>
      <c r="J111" s="181">
        <f t="shared" si="78"/>
        <v>1.0075836627380084</v>
      </c>
      <c r="K111" s="181">
        <f t="shared" si="78"/>
        <v>1.0097788110592383</v>
      </c>
      <c r="L111" s="181">
        <f t="shared" si="78"/>
        <v>1.0119809501781312</v>
      </c>
      <c r="M111" s="181">
        <f t="shared" si="78"/>
        <v>1.1310539248276896</v>
      </c>
      <c r="N111" s="181">
        <f t="shared" si="78"/>
        <v>25.544828520257401</v>
      </c>
    </row>
    <row r="112" spans="1:14" x14ac:dyDescent="0.25">
      <c r="A112" s="180" t="s">
        <v>253</v>
      </c>
      <c r="B112" s="187" t="s">
        <v>223</v>
      </c>
      <c r="C112" s="181">
        <f t="shared" ref="C112:N112" si="79">IF($C12&lt;0.775,C106*C86-C107*C87+C108*C88,C109*C87-C110*C88+C106*C89)</f>
        <v>0.57706971667841844</v>
      </c>
      <c r="D112" s="181">
        <f t="shared" si="79"/>
        <v>0.57706971667841844</v>
      </c>
      <c r="E112" s="181">
        <f t="shared" si="79"/>
        <v>0.57706971667841844</v>
      </c>
      <c r="F112" s="181">
        <f t="shared" si="79"/>
        <v>0.57706971667841844</v>
      </c>
      <c r="G112" s="181">
        <f t="shared" si="79"/>
        <v>0.57706971667841844</v>
      </c>
      <c r="H112" s="181">
        <f t="shared" si="79"/>
        <v>0.62153806322105187</v>
      </c>
      <c r="I112" s="181">
        <f t="shared" si="79"/>
        <v>0.7097420616617548</v>
      </c>
      <c r="J112" s="181">
        <f t="shared" si="79"/>
        <v>0.87467130240342927</v>
      </c>
      <c r="K112" s="181">
        <f t="shared" si="79"/>
        <v>0.87677295230106145</v>
      </c>
      <c r="L112" s="181">
        <f t="shared" si="79"/>
        <v>0.87888301618395559</v>
      </c>
      <c r="M112" s="181">
        <f t="shared" si="79"/>
        <v>0.99490239277585912</v>
      </c>
      <c r="N112" s="181">
        <f t="shared" si="79"/>
        <v>21.316305047035954</v>
      </c>
    </row>
    <row r="113" spans="1:14" x14ac:dyDescent="0.25">
      <c r="A113" s="180" t="s">
        <v>254</v>
      </c>
      <c r="B113" s="187" t="s">
        <v>222</v>
      </c>
      <c r="C113" s="181">
        <f t="shared" ref="C113:N113" si="80">IF($C12&lt;0.775,C106*C90-C107*C91+C108*C92,C109*C91-C110*C92+C106*C93)</f>
        <v>0.51370185049459027</v>
      </c>
      <c r="D113" s="181">
        <f t="shared" si="80"/>
        <v>0.51370185049459027</v>
      </c>
      <c r="E113" s="181">
        <f t="shared" si="80"/>
        <v>0.51370185049459027</v>
      </c>
      <c r="F113" s="181">
        <f t="shared" si="80"/>
        <v>0.51370185049459027</v>
      </c>
      <c r="G113" s="181">
        <f t="shared" si="80"/>
        <v>0.51370185049459027</v>
      </c>
      <c r="H113" s="181">
        <f t="shared" si="80"/>
        <v>0.53762237863077578</v>
      </c>
      <c r="I113" s="181">
        <f t="shared" si="80"/>
        <v>0.62264058696452917</v>
      </c>
      <c r="J113" s="181">
        <f t="shared" si="80"/>
        <v>0.7722375553437093</v>
      </c>
      <c r="K113" s="181">
        <f t="shared" si="80"/>
        <v>0.77407264284478716</v>
      </c>
      <c r="L113" s="181">
        <f t="shared" si="80"/>
        <v>0.77591409030096492</v>
      </c>
      <c r="M113" s="181">
        <f t="shared" si="80"/>
        <v>0.8761411414771807</v>
      </c>
      <c r="N113" s="181">
        <f t="shared" si="80"/>
        <v>13.282076740753663</v>
      </c>
    </row>
    <row r="114" spans="1:14" x14ac:dyDescent="0.25">
      <c r="A114" s="180" t="s">
        <v>255</v>
      </c>
      <c r="B114" s="187" t="s">
        <v>225</v>
      </c>
      <c r="C114" s="181">
        <f t="shared" ref="C114:N114" si="81">IF($C12&lt;0.775,C106*C94-C107*C95+C108*C96,C109*C95-C110*C96+C106*C97)</f>
        <v>0.45594072806961788</v>
      </c>
      <c r="D114" s="181">
        <f t="shared" si="81"/>
        <v>0.45594072806961788</v>
      </c>
      <c r="E114" s="181">
        <f t="shared" si="81"/>
        <v>0.45594072806961788</v>
      </c>
      <c r="F114" s="181">
        <f t="shared" si="81"/>
        <v>0.45594072806961788</v>
      </c>
      <c r="G114" s="181">
        <f t="shared" si="81"/>
        <v>0.45594072806961788</v>
      </c>
      <c r="H114" s="181">
        <f t="shared" si="81"/>
        <v>0.47235304670889866</v>
      </c>
      <c r="I114" s="181">
        <f t="shared" si="81"/>
        <v>0.55318550961147372</v>
      </c>
      <c r="J114" s="181">
        <f t="shared" si="81"/>
        <v>0.68635862777007017</v>
      </c>
      <c r="K114" s="181">
        <f t="shared" si="81"/>
        <v>0.68797498520205302</v>
      </c>
      <c r="L114" s="181">
        <f t="shared" si="81"/>
        <v>0.68959717738968995</v>
      </c>
      <c r="M114" s="181">
        <f t="shared" si="81"/>
        <v>0.77861008403586185</v>
      </c>
      <c r="N114" s="181">
        <f t="shared" si="81"/>
        <v>7.8681602278439193</v>
      </c>
    </row>
    <row r="115" spans="1:14" x14ac:dyDescent="0.25">
      <c r="A115" s="180" t="s">
        <v>256</v>
      </c>
      <c r="B115" s="187" t="s">
        <v>226</v>
      </c>
      <c r="C115" s="181">
        <f t="shared" ref="C115:N115" si="82">IF($C12&lt;0.775,C106*C98-C107*C99+C108*C100,C109*C99-C110*C100+C106*C101)</f>
        <v>0.4041133377818672</v>
      </c>
      <c r="D115" s="181">
        <f t="shared" si="82"/>
        <v>0.4041133377818672</v>
      </c>
      <c r="E115" s="181">
        <f t="shared" si="82"/>
        <v>0.4041133377818672</v>
      </c>
      <c r="F115" s="181">
        <f t="shared" si="82"/>
        <v>0.4041133377818672</v>
      </c>
      <c r="G115" s="181">
        <f t="shared" si="82"/>
        <v>0.4041133377818672</v>
      </c>
      <c r="H115" s="181">
        <f t="shared" si="82"/>
        <v>0.42490541682180422</v>
      </c>
      <c r="I115" s="181">
        <f t="shared" si="82"/>
        <v>0.48424147387052074</v>
      </c>
      <c r="J115" s="181">
        <f t="shared" si="82"/>
        <v>0.59784066226395405</v>
      </c>
      <c r="K115" s="181">
        <f t="shared" si="82"/>
        <v>0.59930415476732812</v>
      </c>
      <c r="L115" s="181">
        <f t="shared" si="82"/>
        <v>0.60077412045688316</v>
      </c>
      <c r="M115" s="181">
        <f t="shared" si="82"/>
        <v>0.68260926682098511</v>
      </c>
      <c r="N115" s="181">
        <f t="shared" si="82"/>
        <v>8.4061208278461912</v>
      </c>
    </row>
    <row r="116" spans="1:14" x14ac:dyDescent="0.25">
      <c r="A116" s="180" t="s">
        <v>257</v>
      </c>
      <c r="B116" s="187" t="s">
        <v>227</v>
      </c>
      <c r="C116" s="181">
        <f t="shared" ref="C116:N116" si="83">IF($C12&lt;0.775,C106*C102-C107*C103+C108*C104,C109*C103-C110*C104+C106*C105)</f>
        <v>0.36177994416797787</v>
      </c>
      <c r="D116" s="181">
        <f t="shared" si="83"/>
        <v>0.36177994416797787</v>
      </c>
      <c r="E116" s="181">
        <f t="shared" si="83"/>
        <v>0.36177994416797787</v>
      </c>
      <c r="F116" s="181">
        <f t="shared" si="83"/>
        <v>0.36177994416797787</v>
      </c>
      <c r="G116" s="181">
        <f t="shared" si="83"/>
        <v>0.36177994416797787</v>
      </c>
      <c r="H116" s="181">
        <f t="shared" si="83"/>
        <v>0.37873525352126913</v>
      </c>
      <c r="I116" s="181">
        <f t="shared" si="83"/>
        <v>0.42643694721900116</v>
      </c>
      <c r="J116" s="181">
        <f t="shared" si="83"/>
        <v>0.521755939835715</v>
      </c>
      <c r="K116" s="181">
        <f t="shared" si="83"/>
        <v>0.52300993384620764</v>
      </c>
      <c r="L116" s="181">
        <f t="shared" si="83"/>
        <v>0.52427004372759478</v>
      </c>
      <c r="M116" s="181">
        <f t="shared" si="83"/>
        <v>0.5952534898606674</v>
      </c>
      <c r="N116" s="181">
        <f t="shared" si="83"/>
        <v>7.6051084937342459</v>
      </c>
    </row>
    <row r="117" spans="1:14" x14ac:dyDescent="0.25">
      <c r="A117" s="171" t="s">
        <v>131</v>
      </c>
      <c r="B117" s="171" t="s">
        <v>122</v>
      </c>
      <c r="C117" s="184">
        <f t="shared" ref="C117:N117" si="84">IF($C13&gt;5.25,IF($C13&lt;5.75,C112*($C13-5.5)*($C13-6)/0.5-C113*($C13-5)*($C13-6)/0.25+C114*($C13-5)*($C13-5.5)/0.5,IF($C13&lt;6.25,C113*($C13-6)*($C13-6.5)/0.5-C114*($C13-5.5)*($C13-6.5)/0.25+C115*($C13-5.5)*($C13-6)/0.5,C114*($C13-6.5)*($C13-7)/0.5-C115*($C13-6)*($C13-7)/0.25+C116*($C13-6)*($C13-6.5)/0.5)),C111*($C13-5)*($C13-5.5)/0.5-C112*($C13-4.5)*($C13-5.5)/0.25+C113*($C13-4.5)*($C13-5)/0.5)</f>
        <v>0.54898284433744049</v>
      </c>
      <c r="D117" s="184">
        <f t="shared" si="84"/>
        <v>0.54898284433744049</v>
      </c>
      <c r="E117" s="184">
        <f t="shared" si="84"/>
        <v>0.54898284433744049</v>
      </c>
      <c r="F117" s="184">
        <f t="shared" si="84"/>
        <v>0.54898284433744049</v>
      </c>
      <c r="G117" s="184">
        <f t="shared" si="84"/>
        <v>0.54898284433744049</v>
      </c>
      <c r="H117" s="184">
        <f t="shared" si="84"/>
        <v>0.58878002115982775</v>
      </c>
      <c r="I117" s="184">
        <f t="shared" si="84"/>
        <v>0.67398309039995741</v>
      </c>
      <c r="J117" s="184">
        <f t="shared" si="84"/>
        <v>0.83312050901618795</v>
      </c>
      <c r="K117" s="184">
        <f t="shared" si="84"/>
        <v>0.83514347646918152</v>
      </c>
      <c r="L117" s="184">
        <f t="shared" si="84"/>
        <v>0.83717450170839092</v>
      </c>
      <c r="M117" s="184">
        <f t="shared" si="84"/>
        <v>0.94882238541334141</v>
      </c>
      <c r="N117" s="184">
        <f t="shared" si="84"/>
        <v>18.780246669136186</v>
      </c>
    </row>
    <row r="118" spans="1:14" x14ac:dyDescent="0.25">
      <c r="A118" s="168"/>
      <c r="B118" s="169" t="s">
        <v>123</v>
      </c>
      <c r="C118" s="167">
        <f t="shared" ref="C118:N118" si="85">C22</f>
        <v>0.12</v>
      </c>
      <c r="D118" s="167">
        <f t="shared" si="85"/>
        <v>5.323188727135366E-2</v>
      </c>
      <c r="E118" s="167">
        <f t="shared" si="85"/>
        <v>7.2947401075558735E-2</v>
      </c>
      <c r="F118" s="167">
        <f t="shared" si="85"/>
        <v>9.2662914879763802E-2</v>
      </c>
      <c r="G118" s="167">
        <f t="shared" si="85"/>
        <v>0.11237842868396887</v>
      </c>
      <c r="H118" s="167">
        <f t="shared" si="85"/>
        <v>0.13209394248817394</v>
      </c>
      <c r="I118" s="167">
        <f t="shared" si="85"/>
        <v>0.15180945629237902</v>
      </c>
      <c r="J118" s="167">
        <f t="shared" si="85"/>
        <v>0.17132781495854202</v>
      </c>
      <c r="K118" s="167">
        <f t="shared" si="85"/>
        <v>0.17152497009658407</v>
      </c>
      <c r="L118" s="167">
        <f t="shared" si="85"/>
        <v>0.17172212523462613</v>
      </c>
      <c r="M118" s="167">
        <f t="shared" si="85"/>
        <v>0.18157988213672865</v>
      </c>
      <c r="N118" s="167">
        <f t="shared" si="85"/>
        <v>0.32</v>
      </c>
    </row>
    <row r="119" spans="1:14" x14ac:dyDescent="0.25">
      <c r="A119" s="168"/>
      <c r="B119" s="169" t="s">
        <v>165</v>
      </c>
      <c r="C119" s="167">
        <f t="shared" ref="C119:N119" si="86">C55+C57+C59+C63</f>
        <v>0.62869910997925382</v>
      </c>
      <c r="D119" s="167">
        <f t="shared" si="86"/>
        <v>0.52229251996163717</v>
      </c>
      <c r="E119" s="167">
        <f t="shared" si="86"/>
        <v>0.54035534543976715</v>
      </c>
      <c r="F119" s="167">
        <f t="shared" si="86"/>
        <v>0.56758354000178068</v>
      </c>
      <c r="G119" s="167">
        <f t="shared" si="86"/>
        <v>0.6081864072540184</v>
      </c>
      <c r="H119" s="167">
        <f t="shared" si="86"/>
        <v>0.6683496663392009</v>
      </c>
      <c r="I119" s="167">
        <f t="shared" si="86"/>
        <v>0.75744135379953037</v>
      </c>
      <c r="J119" s="167">
        <f t="shared" si="86"/>
        <v>0.88862791797319374</v>
      </c>
      <c r="K119" s="167">
        <f t="shared" si="86"/>
        <v>0.89024152274060142</v>
      </c>
      <c r="L119" s="167">
        <f t="shared" si="86"/>
        <v>0.89186181070803616</v>
      </c>
      <c r="M119" s="167">
        <f t="shared" si="86"/>
        <v>0.98213558235527587</v>
      </c>
      <c r="N119" s="167">
        <f t="shared" si="86"/>
        <v>12.090393063862917</v>
      </c>
    </row>
    <row r="120" spans="1:14" x14ac:dyDescent="0.25">
      <c r="A120" s="168"/>
      <c r="B120" s="169" t="s">
        <v>166</v>
      </c>
      <c r="C120" s="167">
        <f t="shared" ref="C120:N120" si="87">C119-C117</f>
        <v>7.9716265641813333E-2</v>
      </c>
      <c r="D120" s="167">
        <f t="shared" si="87"/>
        <v>-2.669032437580332E-2</v>
      </c>
      <c r="E120" s="167">
        <f t="shared" si="87"/>
        <v>-8.6274988976733358E-3</v>
      </c>
      <c r="F120" s="167">
        <f t="shared" si="87"/>
        <v>1.8600695664340194E-2</v>
      </c>
      <c r="G120" s="167">
        <f t="shared" si="87"/>
        <v>5.9203562916577912E-2</v>
      </c>
      <c r="H120" s="167">
        <f t="shared" si="87"/>
        <v>7.956964517937315E-2</v>
      </c>
      <c r="I120" s="167">
        <f t="shared" si="87"/>
        <v>8.3458263399572963E-2</v>
      </c>
      <c r="J120" s="167">
        <f t="shared" si="87"/>
        <v>5.5507408957005788E-2</v>
      </c>
      <c r="K120" s="167">
        <f t="shared" si="87"/>
        <v>5.5098046271419898E-2</v>
      </c>
      <c r="L120" s="167">
        <f t="shared" si="87"/>
        <v>5.4687308999645245E-2</v>
      </c>
      <c r="M120" s="167">
        <f t="shared" si="87"/>
        <v>3.3313196941934464E-2</v>
      </c>
      <c r="N120" s="167">
        <f t="shared" si="87"/>
        <v>-6.6898536052732691</v>
      </c>
    </row>
  </sheetData>
  <sheetProtection password="CC7C" sheet="1" objects="1" scenarios="1"/>
  <phoneticPr fontId="2" type="noConversion"/>
  <dataValidations count="1">
    <dataValidation type="whole" allowBlank="1" showInputMessage="1" showErrorMessage="1" error="Value to be either 1 or 2" sqref="K14">
      <formula1>1</formula1>
      <formula2>3</formula2>
    </dataValidation>
  </dataValidations>
  <pageMargins left="0.75" right="0.75" top="1" bottom="1" header="0" footer="0"/>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S120"/>
  <sheetViews>
    <sheetView topLeftCell="A19" workbookViewId="0">
      <selection activeCell="N36" sqref="N36"/>
    </sheetView>
  </sheetViews>
  <sheetFormatPr defaultRowHeight="13.2" x14ac:dyDescent="0.25"/>
  <cols>
    <col min="1" max="1" width="27.44140625" customWidth="1"/>
    <col min="2" max="14" width="7.77734375" customWidth="1"/>
  </cols>
  <sheetData>
    <row r="1" spans="1:19" ht="21.6" thickBot="1" x14ac:dyDescent="0.45">
      <c r="A1" s="254" t="s">
        <v>370</v>
      </c>
      <c r="B1" s="7"/>
      <c r="C1" s="7"/>
      <c r="D1" s="7"/>
      <c r="E1" s="6"/>
      <c r="F1" s="7"/>
      <c r="G1" s="7"/>
      <c r="H1" s="255"/>
      <c r="I1" s="256"/>
      <c r="J1" s="257"/>
      <c r="K1" s="193"/>
      <c r="L1" s="257"/>
      <c r="M1" s="257"/>
      <c r="N1" s="230"/>
    </row>
    <row r="2" spans="1:19" s="430" customFormat="1" ht="13.8" thickTop="1" x14ac:dyDescent="0.25">
      <c r="A2" s="641" t="s">
        <v>8</v>
      </c>
      <c r="B2" s="642"/>
      <c r="C2" s="642"/>
      <c r="D2" s="643"/>
      <c r="E2" s="644"/>
      <c r="F2" s="644"/>
      <c r="G2" s="642"/>
      <c r="H2" s="642"/>
      <c r="I2" s="645"/>
      <c r="J2" s="646" t="s">
        <v>9</v>
      </c>
      <c r="K2" s="647"/>
      <c r="L2" s="642"/>
      <c r="M2" s="642"/>
      <c r="N2" s="648"/>
    </row>
    <row r="3" spans="1:19" s="430" customFormat="1" x14ac:dyDescent="0.25">
      <c r="A3" s="649" t="s">
        <v>10</v>
      </c>
      <c r="B3" s="650" t="s">
        <v>11</v>
      </c>
      <c r="C3" s="651">
        <v>1.0249999999999999</v>
      </c>
      <c r="D3" s="652"/>
      <c r="E3" s="653"/>
      <c r="F3" s="654"/>
      <c r="G3" s="655" t="s">
        <v>12</v>
      </c>
      <c r="H3" s="655"/>
      <c r="I3" s="655"/>
      <c r="J3" s="656">
        <v>1</v>
      </c>
      <c r="K3" s="657">
        <f>IF(J3=1,IF(C17=1,0.7*C73-0.45+0.08*C13,IF(C16=1,C74,G73)),J3)</f>
        <v>0.25893039851908317</v>
      </c>
      <c r="L3" s="658"/>
      <c r="M3" s="659"/>
      <c r="N3" s="660"/>
    </row>
    <row r="4" spans="1:19" s="430" customFormat="1" x14ac:dyDescent="0.25">
      <c r="A4" s="649" t="s">
        <v>13</v>
      </c>
      <c r="B4" s="650" t="s">
        <v>14</v>
      </c>
      <c r="C4" s="661">
        <f>'Ship data'!E6</f>
        <v>69.39316773984396</v>
      </c>
      <c r="D4" s="662"/>
      <c r="E4" s="653"/>
      <c r="F4" s="654"/>
      <c r="G4" s="655" t="s">
        <v>15</v>
      </c>
      <c r="H4" s="655"/>
      <c r="I4" s="655"/>
      <c r="J4" s="663">
        <v>1</v>
      </c>
      <c r="K4" s="664">
        <f>IF(J4=1,IF(C17=1,E73-0.26+0.04*C13,IF(C16=1,E74,G74)),J4)</f>
        <v>0.2282923338706685</v>
      </c>
      <c r="L4" s="659"/>
      <c r="M4" s="659"/>
      <c r="N4" s="660"/>
    </row>
    <row r="5" spans="1:19" s="430" customFormat="1" x14ac:dyDescent="0.25">
      <c r="A5" s="649" t="s">
        <v>16</v>
      </c>
      <c r="B5" s="650" t="s">
        <v>14</v>
      </c>
      <c r="C5" s="661">
        <f>'Ship data'!E7</f>
        <v>12.098035159762397</v>
      </c>
      <c r="D5" s="662"/>
      <c r="E5" s="653"/>
      <c r="F5" s="654"/>
      <c r="G5" s="655" t="s">
        <v>17</v>
      </c>
      <c r="H5" s="655"/>
      <c r="I5" s="655"/>
      <c r="J5" s="665"/>
      <c r="K5" s="664">
        <f>(1-K4)/(1-K3)</f>
        <v>1.0413430325399788</v>
      </c>
      <c r="L5" s="659"/>
      <c r="M5" s="659"/>
      <c r="N5" s="660"/>
    </row>
    <row r="6" spans="1:19" s="430" customFormat="1" x14ac:dyDescent="0.25">
      <c r="A6" s="649" t="s">
        <v>18</v>
      </c>
      <c r="B6" s="650" t="s">
        <v>14</v>
      </c>
      <c r="C6" s="661">
        <f>'Ship data'!E11</f>
        <v>4.2215265052210178</v>
      </c>
      <c r="D6" s="666"/>
      <c r="E6" s="667"/>
      <c r="F6" s="654"/>
      <c r="G6" s="655" t="s">
        <v>19</v>
      </c>
      <c r="H6" s="655"/>
      <c r="I6" s="655"/>
      <c r="J6" s="665"/>
      <c r="K6" s="664">
        <f>'Ship data'!E49/100</f>
        <v>0.98</v>
      </c>
      <c r="L6" s="659"/>
      <c r="M6" s="659"/>
      <c r="N6" s="660"/>
    </row>
    <row r="7" spans="1:19" s="430" customFormat="1" x14ac:dyDescent="0.25">
      <c r="A7" s="649" t="s">
        <v>20</v>
      </c>
      <c r="B7" s="650" t="s">
        <v>21</v>
      </c>
      <c r="C7" s="668">
        <f>'Ship data'!E20</f>
        <v>2820.9727921305375</v>
      </c>
      <c r="D7" s="662"/>
      <c r="E7" s="653"/>
      <c r="F7" s="654"/>
      <c r="G7" s="655" t="s">
        <v>22</v>
      </c>
      <c r="H7" s="655"/>
      <c r="I7" s="655"/>
      <c r="J7" s="665"/>
      <c r="K7" s="669">
        <v>1</v>
      </c>
      <c r="L7" s="659"/>
      <c r="M7" s="659"/>
      <c r="N7" s="660"/>
    </row>
    <row r="8" spans="1:19" s="430" customFormat="1" x14ac:dyDescent="0.25">
      <c r="A8" s="649" t="s">
        <v>23</v>
      </c>
      <c r="B8" s="650" t="s">
        <v>24</v>
      </c>
      <c r="C8" s="668">
        <f>'Ship data'!E33</f>
        <v>1192.1829274703587</v>
      </c>
      <c r="D8" s="662"/>
      <c r="E8" s="653"/>
      <c r="F8" s="654"/>
      <c r="G8" s="670" t="s">
        <v>25</v>
      </c>
      <c r="H8" s="671"/>
      <c r="I8" s="671"/>
      <c r="J8" s="671"/>
      <c r="K8" s="672"/>
      <c r="L8" s="659"/>
      <c r="M8" s="659"/>
      <c r="N8" s="660"/>
    </row>
    <row r="9" spans="1:19" s="430" customFormat="1" x14ac:dyDescent="0.25">
      <c r="A9" s="649" t="s">
        <v>26</v>
      </c>
      <c r="B9" s="650" t="s">
        <v>24</v>
      </c>
      <c r="C9" s="668">
        <f>IF(C8=0,(0.99+(C16-1)*0.05)*(C7/C3/C6+1.9*C4*C6),C8)</f>
        <v>1192.1829274703587</v>
      </c>
      <c r="D9" s="666"/>
      <c r="E9" s="653"/>
      <c r="F9" s="654"/>
      <c r="G9" s="673" t="s">
        <v>27</v>
      </c>
      <c r="H9" s="673"/>
      <c r="I9" s="673"/>
      <c r="J9" s="674">
        <v>0.32</v>
      </c>
      <c r="K9" s="675" t="str">
        <f>IF(J9&gt;0.32,"Too high"," ")</f>
        <v xml:space="preserve"> </v>
      </c>
      <c r="L9" s="659"/>
      <c r="M9" s="659"/>
      <c r="N9" s="660"/>
    </row>
    <row r="10" spans="1:19" s="430" customFormat="1" x14ac:dyDescent="0.25">
      <c r="A10" s="649" t="s">
        <v>4</v>
      </c>
      <c r="B10" s="650" t="s">
        <v>28</v>
      </c>
      <c r="C10" s="651">
        <f>'Ship data'!E28</f>
        <v>0.9946821399725172</v>
      </c>
      <c r="D10" s="662"/>
      <c r="E10" s="653"/>
      <c r="F10" s="654"/>
      <c r="G10" s="676" t="s">
        <v>29</v>
      </c>
      <c r="H10" s="676"/>
      <c r="I10" s="676"/>
      <c r="J10" s="677">
        <v>1</v>
      </c>
      <c r="K10" s="678" t="str">
        <f>IF(J10&lt;0.9,"Too low"," ")</f>
        <v xml:space="preserve"> </v>
      </c>
      <c r="L10" s="659"/>
      <c r="M10" s="659"/>
      <c r="N10" s="660"/>
    </row>
    <row r="11" spans="1:19" s="430" customFormat="1" x14ac:dyDescent="0.25">
      <c r="A11" s="649" t="s">
        <v>30</v>
      </c>
      <c r="B11" s="650" t="s">
        <v>28</v>
      </c>
      <c r="C11" s="651">
        <f>C7/C3/C4/C5/C6</f>
        <v>0.77655810396006675</v>
      </c>
      <c r="D11" s="662"/>
      <c r="E11" s="653"/>
      <c r="F11" s="654"/>
      <c r="G11" s="679" t="s">
        <v>124</v>
      </c>
      <c r="H11" s="679"/>
      <c r="I11" s="680"/>
      <c r="J11" s="681"/>
      <c r="K11" s="682">
        <f>'Ship data'!E39</f>
        <v>15</v>
      </c>
      <c r="L11" s="659"/>
      <c r="M11" s="659"/>
      <c r="N11" s="660"/>
      <c r="S11" s="683"/>
    </row>
    <row r="12" spans="1:19" s="430" customFormat="1" x14ac:dyDescent="0.25">
      <c r="A12" s="649" t="s">
        <v>31</v>
      </c>
      <c r="B12" s="650" t="s">
        <v>28</v>
      </c>
      <c r="C12" s="651">
        <f>C11/C10</f>
        <v>0.7807098094487982</v>
      </c>
      <c r="D12" s="684"/>
      <c r="E12" s="659"/>
      <c r="F12" s="654"/>
      <c r="G12" s="685" t="s">
        <v>125</v>
      </c>
      <c r="H12" s="686"/>
      <c r="I12" s="687"/>
      <c r="J12" s="688"/>
      <c r="K12" s="689">
        <v>15</v>
      </c>
      <c r="L12" s="659"/>
      <c r="M12" s="659"/>
      <c r="N12" s="660"/>
    </row>
    <row r="13" spans="1:19" s="430" customFormat="1" x14ac:dyDescent="0.25">
      <c r="A13" s="649" t="s">
        <v>32</v>
      </c>
      <c r="B13" s="650" t="s">
        <v>28</v>
      </c>
      <c r="C13" s="661">
        <f>C4/(C7/C3)^(1/3)</f>
        <v>4.9517461101891573</v>
      </c>
      <c r="D13" s="684" t="str">
        <f>IF(OR(C13&lt;4,C13&gt;9)," Warning: Length-displ. ratio out of range !","")</f>
        <v/>
      </c>
      <c r="E13" s="659"/>
      <c r="F13" s="654"/>
      <c r="G13" s="685" t="s">
        <v>126</v>
      </c>
      <c r="H13" s="685"/>
      <c r="I13" s="687"/>
      <c r="J13" s="688"/>
      <c r="K13" s="689">
        <v>1</v>
      </c>
      <c r="L13" s="659"/>
      <c r="M13" s="659"/>
      <c r="N13" s="660"/>
    </row>
    <row r="14" spans="1:19" s="430" customFormat="1" x14ac:dyDescent="0.25">
      <c r="A14" s="649" t="s">
        <v>33</v>
      </c>
      <c r="B14" s="650" t="s">
        <v>28</v>
      </c>
      <c r="C14" s="690">
        <v>0</v>
      </c>
      <c r="D14" s="684"/>
      <c r="E14" s="659"/>
      <c r="F14" s="654"/>
      <c r="G14" s="685" t="s">
        <v>130</v>
      </c>
      <c r="H14" s="685"/>
      <c r="I14" s="687"/>
      <c r="J14" s="688"/>
      <c r="K14" s="682">
        <f>'Ship data'!E68</f>
        <v>1</v>
      </c>
      <c r="L14" s="691"/>
      <c r="M14" s="692" t="s">
        <v>262</v>
      </c>
      <c r="N14" s="584">
        <f>'Ship data'!E40</f>
        <v>0.85</v>
      </c>
    </row>
    <row r="15" spans="1:19" s="430" customFormat="1" x14ac:dyDescent="0.25">
      <c r="A15" s="649" t="s">
        <v>34</v>
      </c>
      <c r="B15" s="650" t="s">
        <v>28</v>
      </c>
      <c r="C15" s="690">
        <v>0</v>
      </c>
      <c r="D15" s="693"/>
      <c r="E15" s="694"/>
      <c r="F15" s="653"/>
      <c r="G15" s="695" t="s">
        <v>397</v>
      </c>
      <c r="H15" s="696"/>
      <c r="I15" s="696"/>
      <c r="J15" s="696"/>
      <c r="K15" s="470">
        <f>'Ship data'!E50</f>
        <v>0</v>
      </c>
      <c r="L15" s="691"/>
      <c r="M15" s="697" t="s">
        <v>487</v>
      </c>
      <c r="N15" s="698">
        <f>'Ship data'!E42</f>
        <v>160.86052752684637</v>
      </c>
    </row>
    <row r="16" spans="1:19" s="430" customFormat="1" x14ac:dyDescent="0.25">
      <c r="A16" s="649" t="s">
        <v>35</v>
      </c>
      <c r="B16" s="650" t="s">
        <v>28</v>
      </c>
      <c r="C16" s="699">
        <v>1</v>
      </c>
      <c r="D16" s="700" t="str">
        <f>IF(OR(C4/C5&lt;3.5,C4/C5&gt;10)," Warning: L/B out of range !","")</f>
        <v/>
      </c>
      <c r="E16" s="653"/>
      <c r="F16" s="653"/>
      <c r="G16" s="659"/>
      <c r="H16" s="659"/>
      <c r="I16" s="659"/>
      <c r="J16" s="659"/>
      <c r="K16" s="659"/>
      <c r="L16" s="579" t="s">
        <v>488</v>
      </c>
      <c r="M16" s="580"/>
      <c r="N16" s="581">
        <f>'Ship data'!E43</f>
        <v>0</v>
      </c>
    </row>
    <row r="17" spans="1:14" s="430" customFormat="1" x14ac:dyDescent="0.25">
      <c r="A17" s="649" t="s">
        <v>36</v>
      </c>
      <c r="B17" s="650" t="s">
        <v>28</v>
      </c>
      <c r="C17" s="699">
        <v>1</v>
      </c>
      <c r="D17" s="700" t="str">
        <f>IF(C5/C6&gt;6.5,"  Warning: B/T out of range !","")</f>
        <v/>
      </c>
      <c r="E17" s="653"/>
      <c r="F17" s="653"/>
      <c r="G17" s="659"/>
      <c r="H17" s="659"/>
      <c r="I17" s="659"/>
      <c r="J17" s="659"/>
      <c r="K17" s="659"/>
      <c r="L17" s="582" t="s">
        <v>261</v>
      </c>
      <c r="M17" s="583"/>
      <c r="N17" s="584">
        <f>IF(N16=0,0,MAX(0,0.18+0.464*N16+0.4034113*N16^2-0.0285278*N16^3+0.00097424*N16^4))</f>
        <v>0</v>
      </c>
    </row>
    <row r="18" spans="1:14" s="430" customFormat="1" x14ac:dyDescent="0.25">
      <c r="A18" s="649" t="s">
        <v>37</v>
      </c>
      <c r="B18" s="650" t="s">
        <v>14</v>
      </c>
      <c r="C18" s="661">
        <f>'Ship data'!E70</f>
        <v>3.0735094775088392</v>
      </c>
      <c r="D18" s="701">
        <f>C18/C6</f>
        <v>0.72805642075387744</v>
      </c>
      <c r="E18" s="702" t="s">
        <v>163</v>
      </c>
      <c r="F18" s="653"/>
      <c r="G18" s="659"/>
      <c r="H18" s="703"/>
      <c r="I18" s="704" t="s">
        <v>167</v>
      </c>
      <c r="J18" s="705">
        <f>'Ship data'!E35</f>
        <v>13.172490532473214</v>
      </c>
      <c r="K18" s="659"/>
      <c r="L18" s="582" t="s">
        <v>489</v>
      </c>
      <c r="M18" s="585"/>
      <c r="N18" s="586">
        <f>MAX(0,0.01666667*N16^3-0.23571429*N16^2+1.8333*N16-3.6)</f>
        <v>0</v>
      </c>
    </row>
    <row r="19" spans="1:14" s="430" customFormat="1" ht="13.8" thickBot="1" x14ac:dyDescent="0.3">
      <c r="A19" s="706" t="s">
        <v>38</v>
      </c>
      <c r="B19" s="707" t="s">
        <v>28</v>
      </c>
      <c r="C19" s="668">
        <v>4</v>
      </c>
      <c r="D19" s="659"/>
      <c r="E19" s="694"/>
      <c r="F19" s="694"/>
      <c r="G19" s="659"/>
      <c r="H19" s="659"/>
      <c r="I19" s="659"/>
      <c r="J19" s="659"/>
      <c r="K19" s="659"/>
      <c r="L19" s="659"/>
      <c r="M19" s="659"/>
      <c r="N19" s="659"/>
    </row>
    <row r="20" spans="1:14" s="430" customFormat="1" ht="14.4" thickTop="1" thickBot="1" x14ac:dyDescent="0.3">
      <c r="A20" s="708" t="s">
        <v>39</v>
      </c>
      <c r="B20" s="709"/>
      <c r="C20" s="710"/>
      <c r="D20" s="710"/>
      <c r="E20" s="710"/>
      <c r="F20" s="710"/>
      <c r="G20" s="710"/>
      <c r="H20" s="710"/>
      <c r="I20" s="710"/>
      <c r="J20" s="710"/>
      <c r="K20" s="710"/>
      <c r="L20" s="710"/>
      <c r="M20" s="710"/>
      <c r="N20" s="711"/>
    </row>
    <row r="21" spans="1:14" s="430" customFormat="1" x14ac:dyDescent="0.25">
      <c r="A21" s="712" t="s">
        <v>40</v>
      </c>
      <c r="B21" s="713" t="s">
        <v>41</v>
      </c>
      <c r="C21" s="714">
        <f>(C22*(9.81*C4)^0.5)/0.5144</f>
        <v>6.0865773619557171</v>
      </c>
      <c r="D21" s="715">
        <f t="shared" ref="D21:J21" si="0">E21-0.5</f>
        <v>9.6724905324732138</v>
      </c>
      <c r="E21" s="715">
        <f t="shared" si="0"/>
        <v>10.172490532473214</v>
      </c>
      <c r="F21" s="715">
        <f t="shared" si="0"/>
        <v>10.672490532473214</v>
      </c>
      <c r="G21" s="715">
        <f t="shared" si="0"/>
        <v>11.172490532473214</v>
      </c>
      <c r="H21" s="715">
        <f t="shared" si="0"/>
        <v>11.672490532473214</v>
      </c>
      <c r="I21" s="715">
        <f t="shared" si="0"/>
        <v>12.172490532473214</v>
      </c>
      <c r="J21" s="715">
        <f t="shared" si="0"/>
        <v>12.672490532473214</v>
      </c>
      <c r="K21" s="716">
        <f>J18</f>
        <v>13.172490532473214</v>
      </c>
      <c r="L21" s="715">
        <f>K21+0.5</f>
        <v>13.672490532473214</v>
      </c>
      <c r="M21" s="717">
        <f>L21+0.5</f>
        <v>14.172490532473214</v>
      </c>
      <c r="N21" s="718">
        <f>N22*SQRT(9.81*C4)/0.5144</f>
        <v>16.230872965215244</v>
      </c>
    </row>
    <row r="22" spans="1:14" s="430" customFormat="1" x14ac:dyDescent="0.25">
      <c r="A22" s="649" t="s">
        <v>42</v>
      </c>
      <c r="B22" s="719" t="s">
        <v>28</v>
      </c>
      <c r="C22" s="720">
        <v>0.12</v>
      </c>
      <c r="D22" s="664">
        <f t="shared" ref="D22:M22" si="1">D21*0.5144/SQRT(9.81*$C4)</f>
        <v>0.19069812061401845</v>
      </c>
      <c r="E22" s="664">
        <f t="shared" si="1"/>
        <v>0.200555877516121</v>
      </c>
      <c r="F22" s="664">
        <f t="shared" si="1"/>
        <v>0.21041363441822353</v>
      </c>
      <c r="G22" s="664">
        <f t="shared" si="1"/>
        <v>0.22027139132032608</v>
      </c>
      <c r="H22" s="664">
        <f t="shared" si="1"/>
        <v>0.23012914822242861</v>
      </c>
      <c r="I22" s="664">
        <f t="shared" si="1"/>
        <v>0.23998690512453114</v>
      </c>
      <c r="J22" s="664">
        <f t="shared" si="1"/>
        <v>0.24984466202663369</v>
      </c>
      <c r="K22" s="721">
        <f t="shared" si="1"/>
        <v>0.25970241892873619</v>
      </c>
      <c r="L22" s="664">
        <f t="shared" si="1"/>
        <v>0.26956017583083874</v>
      </c>
      <c r="M22" s="722">
        <f t="shared" si="1"/>
        <v>0.27941793273294124</v>
      </c>
      <c r="N22" s="723">
        <f>J9</f>
        <v>0.32</v>
      </c>
    </row>
    <row r="23" spans="1:14" s="430" customFormat="1" x14ac:dyDescent="0.25">
      <c r="A23" s="649" t="s">
        <v>43</v>
      </c>
      <c r="B23" s="719" t="s">
        <v>28</v>
      </c>
      <c r="C23" s="720">
        <f t="shared" ref="C23:N23" si="2">75/(LOG10(C21*0.5144*$C4*1000000/((43.4233-31.38*$C3)*($K12+20)^(1.72*$C3-2.202)+4.7478-5.779*$C3))-2)^2</f>
        <v>1.9126129181791665</v>
      </c>
      <c r="D23" s="664">
        <f t="shared" si="2"/>
        <v>1.7954071605312594</v>
      </c>
      <c r="E23" s="664">
        <f t="shared" si="2"/>
        <v>1.7833076597966899</v>
      </c>
      <c r="F23" s="664">
        <f t="shared" si="2"/>
        <v>1.771902127866017</v>
      </c>
      <c r="G23" s="664">
        <f t="shared" si="2"/>
        <v>1.7611206080054687</v>
      </c>
      <c r="H23" s="664">
        <f t="shared" si="2"/>
        <v>1.7509029567807526</v>
      </c>
      <c r="I23" s="664">
        <f t="shared" si="2"/>
        <v>1.7411971132131978</v>
      </c>
      <c r="J23" s="664">
        <f t="shared" si="2"/>
        <v>1.7319577306290406</v>
      </c>
      <c r="K23" s="721">
        <f t="shared" si="2"/>
        <v>1.7231450841053335</v>
      </c>
      <c r="L23" s="664">
        <f t="shared" si="2"/>
        <v>1.714724189796593</v>
      </c>
      <c r="M23" s="722">
        <f t="shared" si="2"/>
        <v>1.7066640889162894</v>
      </c>
      <c r="N23" s="724">
        <f t="shared" si="2"/>
        <v>1.6767381901925182</v>
      </c>
    </row>
    <row r="24" spans="1:14" s="430" customFormat="1" x14ac:dyDescent="0.25">
      <c r="A24" s="649" t="s">
        <v>44</v>
      </c>
      <c r="B24" s="719" t="s">
        <v>28</v>
      </c>
      <c r="C24" s="720">
        <f t="shared" ref="C24:M24" si="3">IF(C22&gt;0.12,C48,$C48+(C22-0.12)*2.5)</f>
        <v>0.6712373947960526</v>
      </c>
      <c r="D24" s="725">
        <f t="shared" si="3"/>
        <v>1.2368544009890621</v>
      </c>
      <c r="E24" s="725">
        <f t="shared" si="3"/>
        <v>1.3975738006717082</v>
      </c>
      <c r="F24" s="725">
        <f t="shared" si="3"/>
        <v>1.5919850195247027</v>
      </c>
      <c r="G24" s="725">
        <f t="shared" si="3"/>
        <v>1.8383614782841449</v>
      </c>
      <c r="H24" s="725">
        <f t="shared" si="3"/>
        <v>2.1678933327459027</v>
      </c>
      <c r="I24" s="725">
        <f t="shared" si="3"/>
        <v>2.629564877224785</v>
      </c>
      <c r="J24" s="725">
        <f t="shared" si="3"/>
        <v>3.2957842967730526</v>
      </c>
      <c r="K24" s="721">
        <f t="shared" si="3"/>
        <v>4.2687657681494695</v>
      </c>
      <c r="L24" s="725">
        <f t="shared" si="3"/>
        <v>5.687663909535396</v>
      </c>
      <c r="M24" s="726">
        <f t="shared" si="3"/>
        <v>7.7364605790086109</v>
      </c>
      <c r="N24" s="723">
        <f>N64+N65+N117</f>
        <v>29.028831316493815</v>
      </c>
    </row>
    <row r="25" spans="1:14" s="430" customFormat="1" x14ac:dyDescent="0.25">
      <c r="A25" s="649" t="s">
        <v>45</v>
      </c>
      <c r="B25" s="719" t="s">
        <v>28</v>
      </c>
      <c r="C25" s="720">
        <f t="shared" ref="C25:N25" si="4">IF($C17=1,0,0.3)</f>
        <v>0</v>
      </c>
      <c r="D25" s="664">
        <f t="shared" si="4"/>
        <v>0</v>
      </c>
      <c r="E25" s="664">
        <f t="shared" si="4"/>
        <v>0</v>
      </c>
      <c r="F25" s="664">
        <f t="shared" si="4"/>
        <v>0</v>
      </c>
      <c r="G25" s="664">
        <f t="shared" si="4"/>
        <v>0</v>
      </c>
      <c r="H25" s="664">
        <f t="shared" si="4"/>
        <v>0</v>
      </c>
      <c r="I25" s="664">
        <f t="shared" si="4"/>
        <v>0</v>
      </c>
      <c r="J25" s="664">
        <f t="shared" si="4"/>
        <v>0</v>
      </c>
      <c r="K25" s="721">
        <f t="shared" si="4"/>
        <v>0</v>
      </c>
      <c r="L25" s="664">
        <f t="shared" si="4"/>
        <v>0</v>
      </c>
      <c r="M25" s="722">
        <f t="shared" si="4"/>
        <v>0</v>
      </c>
      <c r="N25" s="724">
        <f t="shared" si="4"/>
        <v>0</v>
      </c>
    </row>
    <row r="26" spans="1:14" s="430" customFormat="1" x14ac:dyDescent="0.25">
      <c r="A26" s="649" t="s">
        <v>46</v>
      </c>
      <c r="B26" s="719" t="s">
        <v>28</v>
      </c>
      <c r="C26" s="720">
        <f t="shared" ref="C26:N26" si="5">$K13*MAX(-0.4,-0.1-1.6*C22)</f>
        <v>-0.29200000000000004</v>
      </c>
      <c r="D26" s="725">
        <f t="shared" si="5"/>
        <v>-0.4</v>
      </c>
      <c r="E26" s="725">
        <f t="shared" si="5"/>
        <v>-0.4</v>
      </c>
      <c r="F26" s="725">
        <f t="shared" si="5"/>
        <v>-0.4</v>
      </c>
      <c r="G26" s="725">
        <f t="shared" si="5"/>
        <v>-0.4</v>
      </c>
      <c r="H26" s="725">
        <f t="shared" si="5"/>
        <v>-0.4</v>
      </c>
      <c r="I26" s="725">
        <f t="shared" si="5"/>
        <v>-0.4</v>
      </c>
      <c r="J26" s="725">
        <f t="shared" si="5"/>
        <v>-0.4</v>
      </c>
      <c r="K26" s="721">
        <f t="shared" si="5"/>
        <v>-0.4</v>
      </c>
      <c r="L26" s="725">
        <f t="shared" si="5"/>
        <v>-0.4</v>
      </c>
      <c r="M26" s="726">
        <f t="shared" si="5"/>
        <v>-0.4</v>
      </c>
      <c r="N26" s="727">
        <f t="shared" si="5"/>
        <v>-0.4</v>
      </c>
    </row>
    <row r="27" spans="1:14" s="430" customFormat="1" x14ac:dyDescent="0.25">
      <c r="A27" s="649" t="s">
        <v>47</v>
      </c>
      <c r="B27" s="719" t="s">
        <v>28</v>
      </c>
      <c r="C27" s="720">
        <f>IF('Ship data'!$C3&lt;55000,0.07,IF('Ship data'!$C3&lt;170000,0.05,0.04))</f>
        <v>7.0000000000000007E-2</v>
      </c>
      <c r="D27" s="725">
        <f>IF('Ship data'!$C3&lt;55000,0.07,IF('Ship data'!$C3&lt;170000,0.05,0.04))</f>
        <v>7.0000000000000007E-2</v>
      </c>
      <c r="E27" s="725">
        <f>IF('Ship data'!$C3&lt;55000,0.07,IF('Ship data'!$C3&lt;170000,0.05,0.04))</f>
        <v>7.0000000000000007E-2</v>
      </c>
      <c r="F27" s="725">
        <f>IF('Ship data'!$C3&lt;55000,0.07,IF('Ship data'!$C3&lt;170000,0.05,0.04))</f>
        <v>7.0000000000000007E-2</v>
      </c>
      <c r="G27" s="725">
        <f>IF('Ship data'!$C3&lt;55000,0.07,IF('Ship data'!$C3&lt;170000,0.05,0.04))</f>
        <v>7.0000000000000007E-2</v>
      </c>
      <c r="H27" s="725">
        <f>IF('Ship data'!$C3&lt;55000,0.07,IF('Ship data'!$C3&lt;170000,0.05,0.04))</f>
        <v>7.0000000000000007E-2</v>
      </c>
      <c r="I27" s="725">
        <f>IF('Ship data'!$C3&lt;55000,0.07,IF('Ship data'!$C3&lt;170000,0.05,0.04))</f>
        <v>7.0000000000000007E-2</v>
      </c>
      <c r="J27" s="725">
        <f>IF('Ship data'!$C3&lt;55000,0.07,IF('Ship data'!$C3&lt;170000,0.05,0.04))</f>
        <v>7.0000000000000007E-2</v>
      </c>
      <c r="K27" s="721">
        <f>IF('Ship data'!$C3&lt;55000,0.07,IF('Ship data'!$C3&lt;170000,0.05,0.04))</f>
        <v>7.0000000000000007E-2</v>
      </c>
      <c r="L27" s="725">
        <f>IF('Ship data'!$C3&lt;55000,0.07,IF('Ship data'!$C3&lt;170000,0.05,0.04))</f>
        <v>7.0000000000000007E-2</v>
      </c>
      <c r="M27" s="726">
        <f>IF('Ship data'!$C3&lt;55000,0.07,IF('Ship data'!$C3&lt;170000,0.05,0.04))</f>
        <v>7.0000000000000007E-2</v>
      </c>
      <c r="N27" s="727">
        <f>IF('Ship data'!$C3&lt;55000,0.07,IF('Ship data'!$C3&lt;170000,0.05,0.04))</f>
        <v>7.0000000000000007E-2</v>
      </c>
    </row>
    <row r="28" spans="1:14" s="430" customFormat="1" x14ac:dyDescent="0.25">
      <c r="A28" s="649" t="s">
        <v>48</v>
      </c>
      <c r="B28" s="719" t="s">
        <v>28</v>
      </c>
      <c r="C28" s="720">
        <f>MAX(0.5*LOG10($C7)-0.1*(LOG10($C7))^2,'PS1'!$K19)</f>
        <v>0.53467419356899204</v>
      </c>
      <c r="D28" s="664">
        <f>MAX(0.5*LOG10($C7)-0.1*(LOG10($C7))^2,'PS1'!$K19)</f>
        <v>0.53467419356899204</v>
      </c>
      <c r="E28" s="664">
        <f>MAX(0.5*LOG10($C7)-0.1*(LOG10($C7))^2,'PS1'!$K19)</f>
        <v>0.53467419356899204</v>
      </c>
      <c r="F28" s="664">
        <f>MAX(0.5*LOG10($C7)-0.1*(LOG10($C7))^2,'PS1'!$K19)</f>
        <v>0.53467419356899204</v>
      </c>
      <c r="G28" s="664">
        <f>MAX(0.5*LOG10($C7)-0.1*(LOG10($C7))^2,'PS1'!$K19)</f>
        <v>0.53467419356899204</v>
      </c>
      <c r="H28" s="664">
        <f>MAX(0.5*LOG10($C7)-0.1*(LOG10($C7))^2,'PS1'!$K19)</f>
        <v>0.53467419356899204</v>
      </c>
      <c r="I28" s="664">
        <f>MAX(0.5*LOG10($C7)-0.1*(LOG10($C7))^2,'PS1'!$K19)</f>
        <v>0.53467419356899204</v>
      </c>
      <c r="J28" s="664">
        <f>MAX(0.5*LOG10($C7)-0.1*(LOG10($C7))^2,'PS1'!$K19)</f>
        <v>0.53467419356899204</v>
      </c>
      <c r="K28" s="721">
        <f>MAX(0.5*LOG10($C7)-0.1*(LOG10($C7))^2,'PS1'!$K19)</f>
        <v>0.53467419356899204</v>
      </c>
      <c r="L28" s="664">
        <f>MAX(0.5*LOG10($C7)-0.1*(LOG10($C7))^2,'PS1'!$K19)</f>
        <v>0.53467419356899204</v>
      </c>
      <c r="M28" s="722">
        <f>MAX(0.5*LOG10($C7)-0.1*(LOG10($C7))^2,'PS1'!$K19)</f>
        <v>0.53467419356899204</v>
      </c>
      <c r="N28" s="727">
        <f>MAX(0.5*LOG10($C7)-0.1*(LOG10($C7))^2,'PS1'!$K19)</f>
        <v>0.53467419356899204</v>
      </c>
    </row>
    <row r="29" spans="1:14" s="430" customFormat="1" x14ac:dyDescent="0.25">
      <c r="A29" s="649" t="s">
        <v>49</v>
      </c>
      <c r="B29" s="719" t="s">
        <v>28</v>
      </c>
      <c r="C29" s="720">
        <f t="shared" ref="C29:N29" si="6">C23+C24+C25+C26+C27+C28</f>
        <v>2.8965245065442113</v>
      </c>
      <c r="D29" s="664">
        <f t="shared" si="6"/>
        <v>3.2369357550893136</v>
      </c>
      <c r="E29" s="664">
        <f t="shared" si="6"/>
        <v>3.3855556540373897</v>
      </c>
      <c r="F29" s="664">
        <f t="shared" si="6"/>
        <v>3.5685613409597119</v>
      </c>
      <c r="G29" s="664">
        <f t="shared" si="6"/>
        <v>3.8041562798586055</v>
      </c>
      <c r="H29" s="664">
        <f t="shared" si="6"/>
        <v>4.1234704830956472</v>
      </c>
      <c r="I29" s="664">
        <f t="shared" si="6"/>
        <v>4.5754361840069748</v>
      </c>
      <c r="J29" s="664">
        <f t="shared" si="6"/>
        <v>5.2324162209710847</v>
      </c>
      <c r="K29" s="721">
        <f t="shared" si="6"/>
        <v>6.1965850458237943</v>
      </c>
      <c r="L29" s="664">
        <f t="shared" si="6"/>
        <v>7.6070622929009808</v>
      </c>
      <c r="M29" s="722">
        <f t="shared" si="6"/>
        <v>9.647798861493893</v>
      </c>
      <c r="N29" s="723">
        <f t="shared" si="6"/>
        <v>30.910243700255329</v>
      </c>
    </row>
    <row r="30" spans="1:14" s="430" customFormat="1" x14ac:dyDescent="0.25">
      <c r="A30" s="649" t="s">
        <v>50</v>
      </c>
      <c r="B30" s="719" t="s">
        <v>51</v>
      </c>
      <c r="C30" s="728">
        <f t="shared" ref="C30:N30" si="7">$K11</f>
        <v>15</v>
      </c>
      <c r="D30" s="729">
        <f t="shared" si="7"/>
        <v>15</v>
      </c>
      <c r="E30" s="729">
        <f t="shared" si="7"/>
        <v>15</v>
      </c>
      <c r="F30" s="729">
        <f t="shared" si="7"/>
        <v>15</v>
      </c>
      <c r="G30" s="729">
        <f t="shared" si="7"/>
        <v>15</v>
      </c>
      <c r="H30" s="729">
        <f t="shared" si="7"/>
        <v>15</v>
      </c>
      <c r="I30" s="729">
        <f t="shared" si="7"/>
        <v>15</v>
      </c>
      <c r="J30" s="729">
        <f t="shared" si="7"/>
        <v>15</v>
      </c>
      <c r="K30" s="730">
        <f t="shared" si="7"/>
        <v>15</v>
      </c>
      <c r="L30" s="729">
        <f t="shared" si="7"/>
        <v>15</v>
      </c>
      <c r="M30" s="731">
        <f t="shared" si="7"/>
        <v>15</v>
      </c>
      <c r="N30" s="732">
        <f t="shared" si="7"/>
        <v>15</v>
      </c>
    </row>
    <row r="31" spans="1:14" s="430" customFormat="1" x14ac:dyDescent="0.25">
      <c r="A31" s="733" t="s">
        <v>263</v>
      </c>
      <c r="B31" s="734" t="s">
        <v>53</v>
      </c>
      <c r="C31" s="735">
        <f>0.00062*$N15*$N14*((C21*0.5144+$N17)^2-(C21*0.5144)^2)</f>
        <v>0</v>
      </c>
      <c r="D31" s="736">
        <f t="shared" ref="D31:M31" si="8">0.00062*$N15*$N14*((D21*0.5144+$N17)^2-(D21*0.5144)^2)</f>
        <v>0</v>
      </c>
      <c r="E31" s="736">
        <f t="shared" si="8"/>
        <v>0</v>
      </c>
      <c r="F31" s="736">
        <f t="shared" si="8"/>
        <v>0</v>
      </c>
      <c r="G31" s="736">
        <f t="shared" si="8"/>
        <v>0</v>
      </c>
      <c r="H31" s="736">
        <f t="shared" si="8"/>
        <v>0</v>
      </c>
      <c r="I31" s="736">
        <f t="shared" si="8"/>
        <v>0</v>
      </c>
      <c r="J31" s="736">
        <f t="shared" si="8"/>
        <v>0</v>
      </c>
      <c r="K31" s="736">
        <f t="shared" si="8"/>
        <v>0</v>
      </c>
      <c r="L31" s="736">
        <f t="shared" si="8"/>
        <v>0</v>
      </c>
      <c r="M31" s="737">
        <f t="shared" si="8"/>
        <v>0</v>
      </c>
      <c r="N31" s="738"/>
    </row>
    <row r="32" spans="1:14" s="430" customFormat="1" x14ac:dyDescent="0.25">
      <c r="A32" s="733" t="s">
        <v>485</v>
      </c>
      <c r="B32" s="734" t="s">
        <v>53</v>
      </c>
      <c r="C32" s="735">
        <f>1336*(5.3+C21*0.5144)*($C5*$C6/$C4*1.02)^0.75*$N18^2/1000</f>
        <v>0</v>
      </c>
      <c r="D32" s="736">
        <f t="shared" ref="D32:M32" si="9">1336*(5.3+D21*0.5144)*($C5*$C6/$C4*1.02)^0.75*$N18^2/1000</f>
        <v>0</v>
      </c>
      <c r="E32" s="736">
        <f t="shared" si="9"/>
        <v>0</v>
      </c>
      <c r="F32" s="736">
        <f t="shared" si="9"/>
        <v>0</v>
      </c>
      <c r="G32" s="736">
        <f t="shared" si="9"/>
        <v>0</v>
      </c>
      <c r="H32" s="736">
        <f t="shared" si="9"/>
        <v>0</v>
      </c>
      <c r="I32" s="736">
        <f t="shared" si="9"/>
        <v>0</v>
      </c>
      <c r="J32" s="736">
        <f t="shared" si="9"/>
        <v>0</v>
      </c>
      <c r="K32" s="736">
        <f t="shared" si="9"/>
        <v>0</v>
      </c>
      <c r="L32" s="736">
        <f t="shared" si="9"/>
        <v>0</v>
      </c>
      <c r="M32" s="737">
        <f t="shared" si="9"/>
        <v>0</v>
      </c>
      <c r="N32" s="739"/>
    </row>
    <row r="33" spans="1:14" s="430" customFormat="1" x14ac:dyDescent="0.25">
      <c r="A33" s="733" t="s">
        <v>486</v>
      </c>
      <c r="B33" s="734" t="s">
        <v>53</v>
      </c>
      <c r="C33" s="735">
        <f>C31+C32</f>
        <v>0</v>
      </c>
      <c r="D33" s="736">
        <f t="shared" ref="D33:M33" si="10">D31+D32</f>
        <v>0</v>
      </c>
      <c r="E33" s="736">
        <f t="shared" si="10"/>
        <v>0</v>
      </c>
      <c r="F33" s="736">
        <f t="shared" si="10"/>
        <v>0</v>
      </c>
      <c r="G33" s="736">
        <f t="shared" si="10"/>
        <v>0</v>
      </c>
      <c r="H33" s="736">
        <f t="shared" si="10"/>
        <v>0</v>
      </c>
      <c r="I33" s="736">
        <f t="shared" si="10"/>
        <v>0</v>
      </c>
      <c r="J33" s="736">
        <f t="shared" si="10"/>
        <v>0</v>
      </c>
      <c r="K33" s="736">
        <f t="shared" si="10"/>
        <v>0</v>
      </c>
      <c r="L33" s="736">
        <f t="shared" si="10"/>
        <v>0</v>
      </c>
      <c r="M33" s="737">
        <f t="shared" si="10"/>
        <v>0</v>
      </c>
      <c r="N33" s="738"/>
    </row>
    <row r="34" spans="1:14" s="430" customFormat="1" x14ac:dyDescent="0.25">
      <c r="A34" s="733" t="s">
        <v>486</v>
      </c>
      <c r="B34" s="734" t="s">
        <v>51</v>
      </c>
      <c r="C34" s="740">
        <f>C33*100/(C35-C33)</f>
        <v>0</v>
      </c>
      <c r="D34" s="741">
        <f t="shared" ref="D34:M34" si="11">D33*100/(D35-D33)</f>
        <v>0</v>
      </c>
      <c r="E34" s="741">
        <f t="shared" si="11"/>
        <v>0</v>
      </c>
      <c r="F34" s="741">
        <f t="shared" si="11"/>
        <v>0</v>
      </c>
      <c r="G34" s="741">
        <f t="shared" si="11"/>
        <v>0</v>
      </c>
      <c r="H34" s="741">
        <f t="shared" si="11"/>
        <v>0</v>
      </c>
      <c r="I34" s="741">
        <f t="shared" si="11"/>
        <v>0</v>
      </c>
      <c r="J34" s="741">
        <f t="shared" si="11"/>
        <v>0</v>
      </c>
      <c r="K34" s="741">
        <f t="shared" si="11"/>
        <v>0</v>
      </c>
      <c r="L34" s="741">
        <f t="shared" si="11"/>
        <v>0</v>
      </c>
      <c r="M34" s="742">
        <f t="shared" si="11"/>
        <v>0</v>
      </c>
      <c r="N34" s="743"/>
    </row>
    <row r="35" spans="1:14" s="430" customFormat="1" x14ac:dyDescent="0.25">
      <c r="A35" s="744" t="s">
        <v>301</v>
      </c>
      <c r="B35" s="745" t="s">
        <v>53</v>
      </c>
      <c r="C35" s="746">
        <f>$C9*$C3*C29*C21^2*0.0001323*(1+C30/100)+C33</f>
        <v>19.950231899173101</v>
      </c>
      <c r="D35" s="747">
        <f t="shared" ref="D35:M35" si="12">$C9*$C3*D29*D21^2*0.0001323*(1+D30/100)+D33</f>
        <v>56.303469128857181</v>
      </c>
      <c r="E35" s="747">
        <f t="shared" si="12"/>
        <v>65.134186638746186</v>
      </c>
      <c r="F35" s="747">
        <f t="shared" si="12"/>
        <v>75.569956285573824</v>
      </c>
      <c r="G35" s="747">
        <f t="shared" si="12"/>
        <v>88.284159936297968</v>
      </c>
      <c r="H35" s="747">
        <f t="shared" si="12"/>
        <v>104.45143214412168</v>
      </c>
      <c r="I35" s="747">
        <f t="shared" si="12"/>
        <v>126.04216125985948</v>
      </c>
      <c r="J35" s="747">
        <f t="shared" si="12"/>
        <v>156.2250536278826</v>
      </c>
      <c r="K35" s="747">
        <f t="shared" si="12"/>
        <v>199.89993505015954</v>
      </c>
      <c r="L35" s="747">
        <f t="shared" si="12"/>
        <v>264.38492198580548</v>
      </c>
      <c r="M35" s="746">
        <f t="shared" si="12"/>
        <v>360.28405323376137</v>
      </c>
      <c r="N35" s="748">
        <f>$C9*$C3*N29*N21^2*0.0001323*(1+N30/100)+N33</f>
        <v>1513.9468706626697</v>
      </c>
    </row>
    <row r="36" spans="1:14" s="430" customFormat="1" x14ac:dyDescent="0.25">
      <c r="A36" s="649" t="s">
        <v>55</v>
      </c>
      <c r="B36" s="719" t="s">
        <v>56</v>
      </c>
      <c r="C36" s="728">
        <f t="shared" ref="C36:N36" si="13">C35*C21*0.5144</f>
        <v>62.462887191380041</v>
      </c>
      <c r="D36" s="729">
        <f t="shared" si="13"/>
        <v>280.13955076529192</v>
      </c>
      <c r="E36" s="729">
        <f t="shared" si="13"/>
        <v>340.82955577718548</v>
      </c>
      <c r="F36" s="729">
        <f t="shared" si="13"/>
        <v>414.87370435776029</v>
      </c>
      <c r="G36" s="729">
        <f t="shared" si="13"/>
        <v>507.38046727902116</v>
      </c>
      <c r="H36" s="729">
        <f t="shared" si="13"/>
        <v>627.16077668316393</v>
      </c>
      <c r="I36" s="729">
        <f t="shared" si="13"/>
        <v>789.21666432469544</v>
      </c>
      <c r="J36" s="729">
        <f t="shared" si="13"/>
        <v>1018.3888079049274</v>
      </c>
      <c r="K36" s="730">
        <f t="shared" si="13"/>
        <v>1354.5077929723377</v>
      </c>
      <c r="L36" s="729">
        <f t="shared" si="13"/>
        <v>1859.4532963258234</v>
      </c>
      <c r="M36" s="731">
        <f t="shared" si="13"/>
        <v>2626.5893283300534</v>
      </c>
      <c r="N36" s="743">
        <f t="shared" si="13"/>
        <v>12640.18624931235</v>
      </c>
    </row>
    <row r="37" spans="1:14" s="430" customFormat="1" x14ac:dyDescent="0.25">
      <c r="A37" s="649" t="s">
        <v>57</v>
      </c>
      <c r="B37" s="719" t="s">
        <v>28</v>
      </c>
      <c r="C37" s="720">
        <f t="shared" ref="C37:N37" si="14">$K5*$K6*$K7*C41</f>
        <v>0.6457486573183</v>
      </c>
      <c r="D37" s="664">
        <f t="shared" si="14"/>
        <v>0.63180660148170786</v>
      </c>
      <c r="E37" s="664">
        <f t="shared" si="14"/>
        <v>0.62599880293845267</v>
      </c>
      <c r="F37" s="664">
        <f t="shared" si="14"/>
        <v>0.61906244111324837</v>
      </c>
      <c r="G37" s="664">
        <f t="shared" si="14"/>
        <v>0.61046060430269056</v>
      </c>
      <c r="H37" s="664">
        <f t="shared" si="14"/>
        <v>0.5993451741682666</v>
      </c>
      <c r="I37" s="664">
        <f t="shared" si="14"/>
        <v>0.58457353876833373</v>
      </c>
      <c r="J37" s="664">
        <f t="shared" si="14"/>
        <v>0.56484695113372951</v>
      </c>
      <c r="K37" s="721">
        <f t="shared" si="14"/>
        <v>0.53899871525292165</v>
      </c>
      <c r="L37" s="664">
        <f t="shared" si="14"/>
        <v>0.50637449881571051</v>
      </c>
      <c r="M37" s="722">
        <f t="shared" si="14"/>
        <v>0.46713422231195467</v>
      </c>
      <c r="N37" s="724">
        <f t="shared" si="14"/>
        <v>0.29309926863732577</v>
      </c>
    </row>
    <row r="38" spans="1:14" s="430" customFormat="1" x14ac:dyDescent="0.25">
      <c r="A38" s="649" t="s">
        <v>58</v>
      </c>
      <c r="B38" s="719" t="s">
        <v>56</v>
      </c>
      <c r="C38" s="746">
        <f t="shared" ref="C38:N38" si="15">C36/C37</f>
        <v>96.729410868276986</v>
      </c>
      <c r="D38" s="749">
        <f t="shared" si="15"/>
        <v>443.39446613617338</v>
      </c>
      <c r="E38" s="749">
        <f t="shared" si="15"/>
        <v>544.45720052070988</v>
      </c>
      <c r="F38" s="749">
        <f t="shared" si="15"/>
        <v>670.16455337154798</v>
      </c>
      <c r="G38" s="749">
        <f t="shared" si="15"/>
        <v>831.14367037425041</v>
      </c>
      <c r="H38" s="749">
        <f t="shared" si="15"/>
        <v>1046.4099882901337</v>
      </c>
      <c r="I38" s="749">
        <f t="shared" si="15"/>
        <v>1350.0725092475691</v>
      </c>
      <c r="J38" s="749">
        <f t="shared" si="15"/>
        <v>1802.9464545411349</v>
      </c>
      <c r="K38" s="747">
        <f t="shared" si="15"/>
        <v>2513.0074611341952</v>
      </c>
      <c r="L38" s="749">
        <f t="shared" si="15"/>
        <v>3672.0911117653877</v>
      </c>
      <c r="M38" s="750">
        <f t="shared" si="15"/>
        <v>5622.7722202206869</v>
      </c>
      <c r="N38" s="743">
        <f t="shared" si="15"/>
        <v>43125.956294872311</v>
      </c>
    </row>
    <row r="39" spans="1:14" s="430" customFormat="1" x14ac:dyDescent="0.25">
      <c r="A39" s="649" t="s">
        <v>59</v>
      </c>
      <c r="B39" s="719" t="s">
        <v>28</v>
      </c>
      <c r="C39" s="751">
        <f t="shared" ref="C39:N39" si="16">2.54648*C35/(1-$K4)/$C17/$C3/(C42*$C18)^2/$K7</f>
        <v>1.2629210850523931</v>
      </c>
      <c r="D39" s="752">
        <f t="shared" si="16"/>
        <v>1.4113446673163461</v>
      </c>
      <c r="E39" s="752">
        <f t="shared" si="16"/>
        <v>1.4761448109422035</v>
      </c>
      <c r="F39" s="752">
        <f t="shared" si="16"/>
        <v>1.5559375902459922</v>
      </c>
      <c r="G39" s="752">
        <f t="shared" si="16"/>
        <v>1.6586599442929906</v>
      </c>
      <c r="H39" s="752">
        <f t="shared" si="16"/>
        <v>1.797884949679152</v>
      </c>
      <c r="I39" s="752">
        <f t="shared" si="16"/>
        <v>1.9949476750632391</v>
      </c>
      <c r="J39" s="752">
        <f t="shared" si="16"/>
        <v>2.2813992273514634</v>
      </c>
      <c r="K39" s="753">
        <f t="shared" si="16"/>
        <v>2.7017889515556122</v>
      </c>
      <c r="L39" s="752">
        <f t="shared" si="16"/>
        <v>3.3167747565421872</v>
      </c>
      <c r="M39" s="754">
        <f t="shared" si="16"/>
        <v>4.2065615460861761</v>
      </c>
      <c r="N39" s="755">
        <f t="shared" si="16"/>
        <v>13.477254697815386</v>
      </c>
    </row>
    <row r="40" spans="1:14" s="430" customFormat="1" x14ac:dyDescent="0.25">
      <c r="A40" s="649" t="s">
        <v>60</v>
      </c>
      <c r="B40" s="756" t="s">
        <v>28</v>
      </c>
      <c r="C40" s="751">
        <f t="shared" ref="C40:N40" si="17">(1.3+0.3*$C19)*C35/(1-$K4)/$C17/(99.6+$C3*9.81*0.65*$C18)/$C18^2+C75</f>
        <v>0.25716296316451276</v>
      </c>
      <c r="D40" s="752">
        <f t="shared" si="17"/>
        <v>0.36132509878146046</v>
      </c>
      <c r="E40" s="752">
        <f t="shared" si="17"/>
        <v>0.38662756054156289</v>
      </c>
      <c r="F40" s="752">
        <f t="shared" si="17"/>
        <v>0.41652894308838301</v>
      </c>
      <c r="G40" s="752">
        <f t="shared" si="17"/>
        <v>0.452958672758973</v>
      </c>
      <c r="H40" s="752">
        <f t="shared" si="17"/>
        <v>0.49928240425027376</v>
      </c>
      <c r="I40" s="752">
        <f t="shared" si="17"/>
        <v>0.56114584821300029</v>
      </c>
      <c r="J40" s="752">
        <f t="shared" si="17"/>
        <v>0.64762822963851496</v>
      </c>
      <c r="K40" s="753">
        <f t="shared" si="17"/>
        <v>0.77276891224178623</v>
      </c>
      <c r="L40" s="752">
        <f t="shared" si="17"/>
        <v>0.95753633507155289</v>
      </c>
      <c r="M40" s="754">
        <f t="shared" si="17"/>
        <v>1.2323140185962687</v>
      </c>
      <c r="N40" s="755">
        <f t="shared" si="17"/>
        <v>4.537878859659096</v>
      </c>
    </row>
    <row r="41" spans="1:14" s="430" customFormat="1" ht="13.8" thickBot="1" x14ac:dyDescent="0.3">
      <c r="A41" s="757" t="s">
        <v>61</v>
      </c>
      <c r="B41" s="758" t="s">
        <v>28</v>
      </c>
      <c r="C41" s="759">
        <f t="shared" ref="C41:M41" si="18">(1+$K15/100)*IF($K14=1,MAX(0.69,0.81-0.014*C39),IF(C39&lt;7,-0.000205*C39^4+0.00518*C39^3-0.0462*C39^2+0.177*C39+0.59,0.85))/(1+SQRT(1+C39))*2</f>
        <v>0.63276670679592484</v>
      </c>
      <c r="D41" s="760">
        <f t="shared" si="18"/>
        <v>0.61910493815311873</v>
      </c>
      <c r="E41" s="760">
        <f t="shared" si="18"/>
        <v>0.61341389796851908</v>
      </c>
      <c r="F41" s="760">
        <f t="shared" si="18"/>
        <v>0.60661698282276122</v>
      </c>
      <c r="G41" s="760">
        <f t="shared" si="18"/>
        <v>0.59818807493526149</v>
      </c>
      <c r="H41" s="760">
        <f t="shared" si="18"/>
        <v>0.5872961063015385</v>
      </c>
      <c r="I41" s="760">
        <f t="shared" si="18"/>
        <v>0.5728214357310687</v>
      </c>
      <c r="J41" s="760">
        <f t="shared" si="18"/>
        <v>0.5534914259007625</v>
      </c>
      <c r="K41" s="761">
        <f t="shared" si="18"/>
        <v>0.52816283572961642</v>
      </c>
      <c r="L41" s="760">
        <f t="shared" si="18"/>
        <v>0.49619448742131161</v>
      </c>
      <c r="M41" s="762">
        <f t="shared" si="18"/>
        <v>0.45774308646887574</v>
      </c>
      <c r="N41" s="763">
        <f>IF($K14=1,MAX(0.69,0.81-0.014*N39),IF(N39&lt;7,-0.000205*N39^4+0.00518*N39^3-0.0462*N39^2+0.177*N39+0.59,0.85))/(1+SQRT(1+N39))*2</f>
        <v>0.28720688286079826</v>
      </c>
    </row>
    <row r="42" spans="1:14" ht="13.8" thickTop="1" x14ac:dyDescent="0.25">
      <c r="A42" s="50" t="s">
        <v>62</v>
      </c>
      <c r="B42" s="51" t="s">
        <v>63</v>
      </c>
      <c r="C42" s="94">
        <f t="shared" ref="C42:N42" si="19">C21*0.5144*(1-$K3)</f>
        <v>2.3202410454277516</v>
      </c>
      <c r="D42" s="52">
        <f t="shared" si="19"/>
        <v>3.6872133894548136</v>
      </c>
      <c r="E42" s="52">
        <f t="shared" si="19"/>
        <v>3.8778164909557056</v>
      </c>
      <c r="F42" s="52">
        <f t="shared" si="19"/>
        <v>4.0684195924565971</v>
      </c>
      <c r="G42" s="52">
        <f t="shared" si="19"/>
        <v>4.2590226939574896</v>
      </c>
      <c r="H42" s="52">
        <f t="shared" si="19"/>
        <v>4.4496257954583811</v>
      </c>
      <c r="I42" s="52">
        <f t="shared" si="19"/>
        <v>4.6402288969592727</v>
      </c>
      <c r="J42" s="52">
        <f t="shared" si="19"/>
        <v>4.8308319984601651</v>
      </c>
      <c r="K42" s="52">
        <f t="shared" si="19"/>
        <v>5.0214350999610557</v>
      </c>
      <c r="L42" s="52">
        <f t="shared" si="19"/>
        <v>5.2120382014619482</v>
      </c>
      <c r="M42" s="52">
        <f t="shared" si="19"/>
        <v>5.4026413029628397</v>
      </c>
      <c r="N42" s="72">
        <f t="shared" si="19"/>
        <v>6.1873094544740042</v>
      </c>
    </row>
    <row r="43" spans="1:14" x14ac:dyDescent="0.25">
      <c r="A43" s="35" t="s">
        <v>64</v>
      </c>
      <c r="B43" s="37" t="s">
        <v>63</v>
      </c>
      <c r="C43" s="93">
        <f t="shared" ref="C43:N43" si="20">C42*SQRT(1+C39)</f>
        <v>3.4903406059483246</v>
      </c>
      <c r="D43" s="47">
        <f t="shared" si="20"/>
        <v>5.7256911458834274</v>
      </c>
      <c r="E43" s="47">
        <f t="shared" si="20"/>
        <v>6.1020431311960692</v>
      </c>
      <c r="F43" s="47">
        <f t="shared" si="20"/>
        <v>6.5043044262233778</v>
      </c>
      <c r="G43" s="47">
        <f t="shared" si="20"/>
        <v>6.9445058874104575</v>
      </c>
      <c r="H43" s="47">
        <f t="shared" si="20"/>
        <v>7.4428354123033102</v>
      </c>
      <c r="I43" s="47">
        <f t="shared" si="20"/>
        <v>8.0303416727645374</v>
      </c>
      <c r="J43" s="47">
        <f t="shared" si="20"/>
        <v>8.7508747938113256</v>
      </c>
      <c r="K43" s="47">
        <f t="shared" si="20"/>
        <v>9.6612580334007117</v>
      </c>
      <c r="L43" s="47">
        <f t="shared" si="20"/>
        <v>10.828973336381482</v>
      </c>
      <c r="M43" s="47">
        <f t="shared" si="20"/>
        <v>12.327688094565076</v>
      </c>
      <c r="N43" s="69">
        <f t="shared" si="20"/>
        <v>23.542086171857513</v>
      </c>
    </row>
    <row r="44" spans="1:14" x14ac:dyDescent="0.25">
      <c r="A44" s="35" t="s">
        <v>65</v>
      </c>
      <c r="B44" s="37" t="s">
        <v>63</v>
      </c>
      <c r="C44" s="93">
        <f t="shared" ref="C44:N44" si="21">C43-C42</f>
        <v>1.1700995605205731</v>
      </c>
      <c r="D44" s="47">
        <f t="shared" si="21"/>
        <v>2.0384777564286138</v>
      </c>
      <c r="E44" s="47">
        <f t="shared" si="21"/>
        <v>2.2242266402403637</v>
      </c>
      <c r="F44" s="47">
        <f t="shared" si="21"/>
        <v>2.4358848337667807</v>
      </c>
      <c r="G44" s="47">
        <f t="shared" si="21"/>
        <v>2.6854831934529679</v>
      </c>
      <c r="H44" s="47">
        <f t="shared" si="21"/>
        <v>2.9932096168449291</v>
      </c>
      <c r="I44" s="47">
        <f t="shared" si="21"/>
        <v>3.3901127758052647</v>
      </c>
      <c r="J44" s="47">
        <f t="shared" si="21"/>
        <v>3.9200427953511605</v>
      </c>
      <c r="K44" s="47">
        <f t="shared" si="21"/>
        <v>4.6398229334396559</v>
      </c>
      <c r="L44" s="47">
        <f t="shared" si="21"/>
        <v>5.616935134919534</v>
      </c>
      <c r="M44" s="47">
        <f t="shared" si="21"/>
        <v>6.9250467916022362</v>
      </c>
      <c r="N44" s="69">
        <f t="shared" si="21"/>
        <v>17.354776717383508</v>
      </c>
    </row>
    <row r="45" spans="1:14" x14ac:dyDescent="0.25">
      <c r="A45" s="35" t="s">
        <v>66</v>
      </c>
      <c r="B45" s="37" t="s">
        <v>28</v>
      </c>
      <c r="C45" s="93">
        <f t="shared" ref="C45:N45" si="22">C43/C42</f>
        <v>1.5043008625445886</v>
      </c>
      <c r="D45" s="47">
        <f t="shared" si="22"/>
        <v>1.5528504974131754</v>
      </c>
      <c r="E45" s="47">
        <f t="shared" si="22"/>
        <v>1.5735770749925799</v>
      </c>
      <c r="F45" s="47">
        <f t="shared" si="22"/>
        <v>1.5987299929149987</v>
      </c>
      <c r="G45" s="47">
        <f t="shared" si="22"/>
        <v>1.6305397708406228</v>
      </c>
      <c r="H45" s="47">
        <f t="shared" si="22"/>
        <v>1.6726879415118505</v>
      </c>
      <c r="I45" s="47">
        <f t="shared" si="22"/>
        <v>1.730591712410307</v>
      </c>
      <c r="J45" s="47">
        <f t="shared" si="22"/>
        <v>1.8114632834676676</v>
      </c>
      <c r="K45" s="47">
        <f t="shared" si="22"/>
        <v>1.9240033657859366</v>
      </c>
      <c r="L45" s="47">
        <f t="shared" si="22"/>
        <v>2.0776849512238829</v>
      </c>
      <c r="M45" s="47">
        <f t="shared" si="22"/>
        <v>2.2817891107826278</v>
      </c>
      <c r="N45" s="69">
        <f t="shared" si="22"/>
        <v>3.8048987762902953</v>
      </c>
    </row>
    <row r="46" spans="1:14" x14ac:dyDescent="0.25">
      <c r="A46" s="35" t="s">
        <v>67</v>
      </c>
      <c r="B46" s="37" t="s">
        <v>63</v>
      </c>
      <c r="C46" s="93">
        <f t="shared" ref="C46:N46" si="23">C42+0.5*C44</f>
        <v>2.9052908256880379</v>
      </c>
      <c r="D46" s="47">
        <f t="shared" si="23"/>
        <v>4.7064522676691203</v>
      </c>
      <c r="E46" s="47">
        <f t="shared" si="23"/>
        <v>4.9899298110758874</v>
      </c>
      <c r="F46" s="47">
        <f t="shared" si="23"/>
        <v>5.286362009339987</v>
      </c>
      <c r="G46" s="47">
        <f t="shared" si="23"/>
        <v>5.601764290683974</v>
      </c>
      <c r="H46" s="47">
        <f t="shared" si="23"/>
        <v>5.9462306038808457</v>
      </c>
      <c r="I46" s="47">
        <f t="shared" si="23"/>
        <v>6.3352852848619055</v>
      </c>
      <c r="J46" s="47">
        <f t="shared" si="23"/>
        <v>6.7908533961357449</v>
      </c>
      <c r="K46" s="47">
        <f t="shared" si="23"/>
        <v>7.3413465666808833</v>
      </c>
      <c r="L46" s="47">
        <f t="shared" si="23"/>
        <v>8.0205057689217156</v>
      </c>
      <c r="M46" s="47">
        <f t="shared" si="23"/>
        <v>8.8651646987639587</v>
      </c>
      <c r="N46" s="69">
        <f t="shared" si="23"/>
        <v>14.864697813165758</v>
      </c>
    </row>
    <row r="47" spans="1:14" x14ac:dyDescent="0.25">
      <c r="A47" s="35" t="s">
        <v>68</v>
      </c>
      <c r="B47" s="37" t="s">
        <v>69</v>
      </c>
      <c r="C47" s="92">
        <f t="shared" ref="C47:N47" si="24">0.785*$C18^2*C46</f>
        <v>21.544101314324461</v>
      </c>
      <c r="D47" s="46">
        <f t="shared" si="24"/>
        <v>34.900562652512669</v>
      </c>
      <c r="E47" s="46">
        <f t="shared" si="24"/>
        <v>37.002682296264638</v>
      </c>
      <c r="F47" s="46">
        <f t="shared" si="24"/>
        <v>39.20086681389111</v>
      </c>
      <c r="G47" s="46">
        <f t="shared" si="24"/>
        <v>41.539723441930988</v>
      </c>
      <c r="H47" s="46">
        <f t="shared" si="24"/>
        <v>44.094103569823254</v>
      </c>
      <c r="I47" s="46">
        <f t="shared" si="24"/>
        <v>46.979127468208063</v>
      </c>
      <c r="J47" s="46">
        <f t="shared" si="24"/>
        <v>50.357379813232654</v>
      </c>
      <c r="K47" s="46">
        <f t="shared" si="24"/>
        <v>54.43954622982865</v>
      </c>
      <c r="L47" s="46">
        <f t="shared" si="24"/>
        <v>59.475831937359189</v>
      </c>
      <c r="M47" s="46">
        <f t="shared" si="24"/>
        <v>65.739376158017578</v>
      </c>
      <c r="N47" s="68">
        <f t="shared" si="24"/>
        <v>110.22874297543648</v>
      </c>
    </row>
    <row r="48" spans="1:14" ht="13.8" thickBot="1" x14ac:dyDescent="0.3">
      <c r="A48" s="35" t="s">
        <v>70</v>
      </c>
      <c r="B48" s="37" t="s">
        <v>28</v>
      </c>
      <c r="C48" s="88">
        <f>C64+C65+C117</f>
        <v>0.6712373947960526</v>
      </c>
      <c r="D48" s="135">
        <f t="shared" ref="D48:N48" si="25">D64+D65+D117</f>
        <v>1.2368544009890621</v>
      </c>
      <c r="E48" s="135">
        <f t="shared" si="25"/>
        <v>1.3975738006717082</v>
      </c>
      <c r="F48" s="135">
        <f t="shared" si="25"/>
        <v>1.5919850195247027</v>
      </c>
      <c r="G48" s="135">
        <f t="shared" si="25"/>
        <v>1.8383614782841449</v>
      </c>
      <c r="H48" s="135">
        <f t="shared" si="25"/>
        <v>2.1678933327459027</v>
      </c>
      <c r="I48" s="135">
        <f t="shared" si="25"/>
        <v>2.629564877224785</v>
      </c>
      <c r="J48" s="135">
        <f t="shared" si="25"/>
        <v>3.2957842967730526</v>
      </c>
      <c r="K48" s="135">
        <f t="shared" si="25"/>
        <v>4.2687657681494695</v>
      </c>
      <c r="L48" s="135">
        <f t="shared" si="25"/>
        <v>5.687663909535396</v>
      </c>
      <c r="M48" s="135">
        <f t="shared" si="25"/>
        <v>7.7364605790086109</v>
      </c>
      <c r="N48" s="186">
        <f t="shared" si="25"/>
        <v>29.028831316493815</v>
      </c>
    </row>
    <row r="49" spans="1:14" x14ac:dyDescent="0.25">
      <c r="A49" s="50"/>
      <c r="B49" s="55" t="s">
        <v>71</v>
      </c>
      <c r="C49" s="54">
        <f t="shared" ref="C49:N49" si="26">1.35-0.23*$C13+0.012*$C13^2</f>
        <v>0.50533586913377537</v>
      </c>
      <c r="D49" s="54">
        <f t="shared" si="26"/>
        <v>0.50533586913377537</v>
      </c>
      <c r="E49" s="54">
        <f t="shared" si="26"/>
        <v>0.50533586913377537</v>
      </c>
      <c r="F49" s="54">
        <f t="shared" si="26"/>
        <v>0.50533586913377537</v>
      </c>
      <c r="G49" s="54">
        <f t="shared" si="26"/>
        <v>0.50533586913377537</v>
      </c>
      <c r="H49" s="54">
        <f t="shared" si="26"/>
        <v>0.50533586913377537</v>
      </c>
      <c r="I49" s="54">
        <f t="shared" si="26"/>
        <v>0.50533586913377537</v>
      </c>
      <c r="J49" s="54">
        <f t="shared" si="26"/>
        <v>0.50533586913377537</v>
      </c>
      <c r="K49" s="54">
        <f t="shared" si="26"/>
        <v>0.50533586913377537</v>
      </c>
      <c r="L49" s="54">
        <f t="shared" si="26"/>
        <v>0.50533586913377537</v>
      </c>
      <c r="M49" s="54">
        <f t="shared" si="26"/>
        <v>0.50533586913377537</v>
      </c>
      <c r="N49" s="57">
        <f t="shared" si="26"/>
        <v>0.50533586913377537</v>
      </c>
    </row>
    <row r="50" spans="1:14" x14ac:dyDescent="0.25">
      <c r="A50" s="35"/>
      <c r="B50" s="53" t="s">
        <v>72</v>
      </c>
      <c r="C50" s="43">
        <f t="shared" ref="C50:N50" si="27">0.0011*$C13^9.1</f>
        <v>2310.4354735193988</v>
      </c>
      <c r="D50" s="43">
        <f t="shared" si="27"/>
        <v>2310.4354735193988</v>
      </c>
      <c r="E50" s="43">
        <f t="shared" si="27"/>
        <v>2310.4354735193988</v>
      </c>
      <c r="F50" s="43">
        <f t="shared" si="27"/>
        <v>2310.4354735193988</v>
      </c>
      <c r="G50" s="43">
        <f t="shared" si="27"/>
        <v>2310.4354735193988</v>
      </c>
      <c r="H50" s="43">
        <f t="shared" si="27"/>
        <v>2310.4354735193988</v>
      </c>
      <c r="I50" s="43">
        <f t="shared" si="27"/>
        <v>2310.4354735193988</v>
      </c>
      <c r="J50" s="43">
        <f t="shared" si="27"/>
        <v>2310.4354735193988</v>
      </c>
      <c r="K50" s="43">
        <f t="shared" si="27"/>
        <v>2310.4354735193988</v>
      </c>
      <c r="L50" s="43">
        <f t="shared" si="27"/>
        <v>2310.4354735193988</v>
      </c>
      <c r="M50" s="43">
        <f t="shared" si="27"/>
        <v>2310.4354735193988</v>
      </c>
      <c r="N50" s="46">
        <f t="shared" si="27"/>
        <v>2310.4354735193988</v>
      </c>
    </row>
    <row r="51" spans="1:14" x14ac:dyDescent="0.25">
      <c r="A51" s="35"/>
      <c r="B51" s="53" t="s">
        <v>73</v>
      </c>
      <c r="C51" s="42">
        <f t="shared" ref="C51:N51" si="28">2*$C13-3.7</f>
        <v>6.2034922203783145</v>
      </c>
      <c r="D51" s="42">
        <f t="shared" si="28"/>
        <v>6.2034922203783145</v>
      </c>
      <c r="E51" s="42">
        <f t="shared" si="28"/>
        <v>6.2034922203783145</v>
      </c>
      <c r="F51" s="42">
        <f t="shared" si="28"/>
        <v>6.2034922203783145</v>
      </c>
      <c r="G51" s="42">
        <f t="shared" si="28"/>
        <v>6.2034922203783145</v>
      </c>
      <c r="H51" s="42">
        <f t="shared" si="28"/>
        <v>6.2034922203783145</v>
      </c>
      <c r="I51" s="42">
        <f t="shared" si="28"/>
        <v>6.2034922203783145</v>
      </c>
      <c r="J51" s="42">
        <f t="shared" si="28"/>
        <v>6.2034922203783145</v>
      </c>
      <c r="K51" s="42">
        <f t="shared" si="28"/>
        <v>6.2034922203783145</v>
      </c>
      <c r="L51" s="42">
        <f t="shared" si="28"/>
        <v>6.2034922203783145</v>
      </c>
      <c r="M51" s="42">
        <f t="shared" si="28"/>
        <v>6.2034922203783145</v>
      </c>
      <c r="N51" s="56">
        <f t="shared" si="28"/>
        <v>6.2034922203783145</v>
      </c>
    </row>
    <row r="52" spans="1:14" x14ac:dyDescent="0.25">
      <c r="A52" s="35"/>
      <c r="B52" s="53" t="s">
        <v>74</v>
      </c>
      <c r="C52" s="42">
        <f t="shared" ref="C52:N52" si="29">7-0.09*$C13^2</f>
        <v>4.7932189414203901</v>
      </c>
      <c r="D52" s="42">
        <f t="shared" si="29"/>
        <v>4.7932189414203901</v>
      </c>
      <c r="E52" s="42">
        <f t="shared" si="29"/>
        <v>4.7932189414203901</v>
      </c>
      <c r="F52" s="42">
        <f t="shared" si="29"/>
        <v>4.7932189414203901</v>
      </c>
      <c r="G52" s="42">
        <f t="shared" si="29"/>
        <v>4.7932189414203901</v>
      </c>
      <c r="H52" s="42">
        <f t="shared" si="29"/>
        <v>4.7932189414203901</v>
      </c>
      <c r="I52" s="42">
        <f t="shared" si="29"/>
        <v>4.7932189414203901</v>
      </c>
      <c r="J52" s="42">
        <f t="shared" si="29"/>
        <v>4.7932189414203901</v>
      </c>
      <c r="K52" s="42">
        <f t="shared" si="29"/>
        <v>4.7932189414203901</v>
      </c>
      <c r="L52" s="42">
        <f t="shared" si="29"/>
        <v>4.7932189414203901</v>
      </c>
      <c r="M52" s="42">
        <f t="shared" si="29"/>
        <v>4.7932189414203901</v>
      </c>
      <c r="N52" s="56">
        <f t="shared" si="29"/>
        <v>4.7932189414203901</v>
      </c>
    </row>
    <row r="53" spans="1:14" x14ac:dyDescent="0.25">
      <c r="A53" s="35"/>
      <c r="B53" s="53" t="s">
        <v>75</v>
      </c>
      <c r="C53" s="42">
        <f t="shared" ref="C53:N53" si="30">(5*$C12-2.5)^2</f>
        <v>1.9699499280195145</v>
      </c>
      <c r="D53" s="42">
        <f t="shared" si="30"/>
        <v>1.9699499280195145</v>
      </c>
      <c r="E53" s="42">
        <f t="shared" si="30"/>
        <v>1.9699499280195145</v>
      </c>
      <c r="F53" s="42">
        <f t="shared" si="30"/>
        <v>1.9699499280195145</v>
      </c>
      <c r="G53" s="42">
        <f t="shared" si="30"/>
        <v>1.9699499280195145</v>
      </c>
      <c r="H53" s="42">
        <f t="shared" si="30"/>
        <v>1.9699499280195145</v>
      </c>
      <c r="I53" s="42">
        <f t="shared" si="30"/>
        <v>1.9699499280195145</v>
      </c>
      <c r="J53" s="42">
        <f t="shared" si="30"/>
        <v>1.9699499280195145</v>
      </c>
      <c r="K53" s="42">
        <f t="shared" si="30"/>
        <v>1.9699499280195145</v>
      </c>
      <c r="L53" s="42">
        <f t="shared" si="30"/>
        <v>1.9699499280195145</v>
      </c>
      <c r="M53" s="42">
        <f t="shared" si="30"/>
        <v>1.9699499280195145</v>
      </c>
      <c r="N53" s="56">
        <f t="shared" si="30"/>
        <v>1.9699499280195145</v>
      </c>
    </row>
    <row r="54" spans="1:14" x14ac:dyDescent="0.25">
      <c r="A54" s="35"/>
      <c r="B54" s="53" t="s">
        <v>76</v>
      </c>
      <c r="C54" s="42">
        <f t="shared" ref="C54:N54" si="31">(600*(C22-0.315)^2+1)^1.5</f>
        <v>116.21866402766382</v>
      </c>
      <c r="D54" s="42">
        <f t="shared" si="31"/>
        <v>32.914866281614927</v>
      </c>
      <c r="E54" s="42">
        <f t="shared" si="31"/>
        <v>26.365644653148415</v>
      </c>
      <c r="F54" s="42">
        <f t="shared" si="31"/>
        <v>20.798874499411056</v>
      </c>
      <c r="G54" s="42">
        <f t="shared" si="31"/>
        <v>16.130584006034162</v>
      </c>
      <c r="H54" s="42">
        <f t="shared" si="31"/>
        <v>12.277002360042575</v>
      </c>
      <c r="I54" s="42">
        <f t="shared" si="31"/>
        <v>9.1546672481812088</v>
      </c>
      <c r="J54" s="42">
        <f t="shared" si="31"/>
        <v>6.6806052776539762</v>
      </c>
      <c r="K54" s="42">
        <f t="shared" si="31"/>
        <v>4.7726452880337096</v>
      </c>
      <c r="L54" s="42">
        <f t="shared" si="31"/>
        <v>3.3499808016143415</v>
      </c>
      <c r="M54" s="42">
        <f t="shared" si="31"/>
        <v>2.3342076079393079</v>
      </c>
      <c r="N54" s="56">
        <f t="shared" si="31"/>
        <v>1.0225841652402019</v>
      </c>
    </row>
    <row r="55" spans="1:14" x14ac:dyDescent="0.25">
      <c r="A55" s="35"/>
      <c r="B55" s="53" t="s">
        <v>77</v>
      </c>
      <c r="C55" s="42">
        <f t="shared" ref="C55:N55" si="32">C52*C53/C54</f>
        <v>8.1246858132745972E-2</v>
      </c>
      <c r="D55" s="42">
        <f t="shared" si="32"/>
        <v>0.28687345188781943</v>
      </c>
      <c r="E55" s="42">
        <f t="shared" si="32"/>
        <v>0.35813276833742502</v>
      </c>
      <c r="F55" s="42">
        <f t="shared" si="32"/>
        <v>0.45398616684283771</v>
      </c>
      <c r="G55" s="42">
        <f t="shared" si="32"/>
        <v>0.58537256339266064</v>
      </c>
      <c r="H55" s="42">
        <f t="shared" si="32"/>
        <v>0.7691129342260814</v>
      </c>
      <c r="I55" s="42">
        <f t="shared" si="32"/>
        <v>1.0314303133747245</v>
      </c>
      <c r="J55" s="42">
        <f t="shared" si="32"/>
        <v>1.4134050607984361</v>
      </c>
      <c r="K55" s="42">
        <f t="shared" si="32"/>
        <v>1.9784418784080771</v>
      </c>
      <c r="L55" s="42">
        <f t="shared" si="32"/>
        <v>2.8186434095630091</v>
      </c>
      <c r="M55" s="42">
        <f t="shared" si="32"/>
        <v>4.0452277151854714</v>
      </c>
      <c r="N55" s="56">
        <f t="shared" si="32"/>
        <v>9.233862238043633</v>
      </c>
    </row>
    <row r="56" spans="1:14" x14ac:dyDescent="0.25">
      <c r="A56" s="35"/>
      <c r="B56" s="53"/>
      <c r="C56" s="42">
        <f t="shared" ref="C56:N56" si="33">C22-(0.04+0.59*$C12)-0.015*($C13-5)</f>
        <v>-0.37989497922762833</v>
      </c>
      <c r="D56" s="42">
        <f t="shared" si="33"/>
        <v>-0.30919685861360985</v>
      </c>
      <c r="E56" s="42">
        <f t="shared" si="33"/>
        <v>-0.29933910171150729</v>
      </c>
      <c r="F56" s="42">
        <f t="shared" si="33"/>
        <v>-0.28948134480940479</v>
      </c>
      <c r="G56" s="42">
        <f t="shared" si="33"/>
        <v>-0.27962358790730224</v>
      </c>
      <c r="H56" s="42">
        <f t="shared" si="33"/>
        <v>-0.26976583100519974</v>
      </c>
      <c r="I56" s="42">
        <f t="shared" si="33"/>
        <v>-0.25990807410309719</v>
      </c>
      <c r="J56" s="42">
        <f t="shared" si="33"/>
        <v>-0.25005031720099463</v>
      </c>
      <c r="K56" s="42">
        <f t="shared" si="33"/>
        <v>-0.2401925602988921</v>
      </c>
      <c r="L56" s="42">
        <f t="shared" si="33"/>
        <v>-0.23033480339678955</v>
      </c>
      <c r="M56" s="42">
        <f t="shared" si="33"/>
        <v>-0.22047704649468705</v>
      </c>
      <c r="N56" s="56">
        <f t="shared" si="33"/>
        <v>-0.17989497922762829</v>
      </c>
    </row>
    <row r="57" spans="1:14" x14ac:dyDescent="0.25">
      <c r="A57" s="18"/>
      <c r="B57" s="53" t="s">
        <v>78</v>
      </c>
      <c r="C57" s="42">
        <f t="shared" ref="C57:N57" si="34">EXP(80*C56)</f>
        <v>6.3255245482617546E-14</v>
      </c>
      <c r="D57" s="42">
        <f t="shared" si="34"/>
        <v>1.8088428543514182E-11</v>
      </c>
      <c r="E57" s="42">
        <f t="shared" si="34"/>
        <v>3.9801037468881073E-11</v>
      </c>
      <c r="F57" s="42">
        <f t="shared" si="34"/>
        <v>8.7576573044388065E-11</v>
      </c>
      <c r="G57" s="42">
        <f t="shared" si="34"/>
        <v>1.9269990517698709E-10</v>
      </c>
      <c r="H57" s="42">
        <f t="shared" si="34"/>
        <v>4.2400898053408356E-10</v>
      </c>
      <c r="I57" s="42">
        <f t="shared" si="34"/>
        <v>9.3297199813580327E-10</v>
      </c>
      <c r="J57" s="42">
        <f t="shared" si="34"/>
        <v>2.0528733806748796E-9</v>
      </c>
      <c r="K57" s="42">
        <f t="shared" si="34"/>
        <v>4.5170585242688899E-9</v>
      </c>
      <c r="L57" s="42">
        <f t="shared" si="34"/>
        <v>9.9391506089686418E-9</v>
      </c>
      <c r="M57" s="42">
        <f t="shared" si="34"/>
        <v>2.1869700004329735E-8</v>
      </c>
      <c r="N57" s="56">
        <f t="shared" si="34"/>
        <v>5.620931023603968E-7</v>
      </c>
    </row>
    <row r="58" spans="1:14" x14ac:dyDescent="0.25">
      <c r="A58" s="18"/>
      <c r="B58" s="53"/>
      <c r="C58" s="42">
        <f t="shared" ref="C58:N58" si="35">20*$C12-16</f>
        <v>-0.38580381102403649</v>
      </c>
      <c r="D58" s="42">
        <f t="shared" si="35"/>
        <v>-0.38580381102403649</v>
      </c>
      <c r="E58" s="42">
        <f t="shared" si="35"/>
        <v>-0.38580381102403649</v>
      </c>
      <c r="F58" s="42">
        <f t="shared" si="35"/>
        <v>-0.38580381102403649</v>
      </c>
      <c r="G58" s="42">
        <f t="shared" si="35"/>
        <v>-0.38580381102403649</v>
      </c>
      <c r="H58" s="42">
        <f t="shared" si="35"/>
        <v>-0.38580381102403649</v>
      </c>
      <c r="I58" s="42">
        <f t="shared" si="35"/>
        <v>-0.38580381102403649</v>
      </c>
      <c r="J58" s="42">
        <f t="shared" si="35"/>
        <v>-0.38580381102403649</v>
      </c>
      <c r="K58" s="42">
        <f t="shared" si="35"/>
        <v>-0.38580381102403649</v>
      </c>
      <c r="L58" s="42">
        <f t="shared" si="35"/>
        <v>-0.38580381102403649</v>
      </c>
      <c r="M58" s="42">
        <f t="shared" si="35"/>
        <v>-0.38580381102403649</v>
      </c>
      <c r="N58" s="56">
        <f t="shared" si="35"/>
        <v>-0.38580381102403649</v>
      </c>
    </row>
    <row r="59" spans="1:14" x14ac:dyDescent="0.25">
      <c r="A59" s="18"/>
      <c r="B59" s="53" t="s">
        <v>79</v>
      </c>
      <c r="C59" s="42">
        <f t="shared" ref="C59:N59" si="36">180*C22^3.7*EXP(C58)</f>
        <v>4.7939185309851674E-2</v>
      </c>
      <c r="D59" s="42">
        <f t="shared" si="36"/>
        <v>0.26607358845563939</v>
      </c>
      <c r="E59" s="42">
        <f t="shared" si="36"/>
        <v>0.32062028561259903</v>
      </c>
      <c r="F59" s="42">
        <f t="shared" si="36"/>
        <v>0.38290707158479309</v>
      </c>
      <c r="G59" s="42">
        <f t="shared" si="36"/>
        <v>0.45359158640057828</v>
      </c>
      <c r="H59" s="42">
        <f t="shared" si="36"/>
        <v>0.5333534024183989</v>
      </c>
      <c r="I59" s="42">
        <f t="shared" si="36"/>
        <v>0.62289372486341787</v>
      </c>
      <c r="J59" s="42">
        <f t="shared" si="36"/>
        <v>0.72293510932384697</v>
      </c>
      <c r="K59" s="42">
        <f t="shared" si="36"/>
        <v>0.8342211945774799</v>
      </c>
      <c r="L59" s="42">
        <f t="shared" si="36"/>
        <v>0.95751644933468649</v>
      </c>
      <c r="M59" s="42">
        <f t="shared" si="36"/>
        <v>1.0936059316640789</v>
      </c>
      <c r="N59" s="56">
        <f t="shared" si="36"/>
        <v>1.8062379328283633</v>
      </c>
    </row>
    <row r="60" spans="1:14" x14ac:dyDescent="0.25">
      <c r="A60" s="18"/>
      <c r="B60" s="53"/>
      <c r="C60" s="42">
        <f t="shared" ref="C60:N60" si="37">C49+1.5*C22^1.8+C50*C22^(C51)</f>
        <v>0.54282501706947661</v>
      </c>
      <c r="D60" s="42">
        <f t="shared" si="37"/>
        <v>0.66062866823277477</v>
      </c>
      <c r="E60" s="42">
        <f t="shared" si="37"/>
        <v>0.69695604943806244</v>
      </c>
      <c r="F60" s="42">
        <f t="shared" si="37"/>
        <v>0.7420511950180253</v>
      </c>
      <c r="G60" s="42">
        <f t="shared" si="37"/>
        <v>0.79780344506386913</v>
      </c>
      <c r="H60" s="42">
        <f t="shared" si="37"/>
        <v>0.86640834007994838</v>
      </c>
      <c r="I60" s="42">
        <f t="shared" si="37"/>
        <v>0.95040006538105426</v>
      </c>
      <c r="J60" s="42">
        <f t="shared" si="37"/>
        <v>1.0526856935925937</v>
      </c>
      <c r="K60" s="42">
        <f t="shared" si="37"/>
        <v>1.176581241010922</v>
      </c>
      <c r="L60" s="42">
        <f t="shared" si="37"/>
        <v>1.3258495531064227</v>
      </c>
      <c r="M60" s="42">
        <f t="shared" si="37"/>
        <v>1.5047400340013641</v>
      </c>
      <c r="N60" s="56">
        <f t="shared" si="37"/>
        <v>2.6656619620179502</v>
      </c>
    </row>
    <row r="61" spans="1:14" x14ac:dyDescent="0.25">
      <c r="A61" s="35"/>
      <c r="B61" s="53"/>
      <c r="C61" s="42">
        <f t="shared" ref="C61:N61" si="38">0.98+2.5/($C13-2)^4</f>
        <v>1.0129324476607617</v>
      </c>
      <c r="D61" s="42">
        <f t="shared" si="38"/>
        <v>1.0129324476607617</v>
      </c>
      <c r="E61" s="42">
        <f t="shared" si="38"/>
        <v>1.0129324476607617</v>
      </c>
      <c r="F61" s="42">
        <f t="shared" si="38"/>
        <v>1.0129324476607617</v>
      </c>
      <c r="G61" s="42">
        <f t="shared" si="38"/>
        <v>1.0129324476607617</v>
      </c>
      <c r="H61" s="42">
        <f t="shared" si="38"/>
        <v>1.0129324476607617</v>
      </c>
      <c r="I61" s="42">
        <f t="shared" si="38"/>
        <v>1.0129324476607617</v>
      </c>
      <c r="J61" s="42">
        <f t="shared" si="38"/>
        <v>1.0129324476607617</v>
      </c>
      <c r="K61" s="42">
        <f t="shared" si="38"/>
        <v>1.0129324476607617</v>
      </c>
      <c r="L61" s="42">
        <f t="shared" si="38"/>
        <v>1.0129324476607617</v>
      </c>
      <c r="M61" s="42">
        <f t="shared" si="38"/>
        <v>1.0129324476607617</v>
      </c>
      <c r="N61" s="56">
        <f t="shared" si="38"/>
        <v>1.0129324476607617</v>
      </c>
    </row>
    <row r="62" spans="1:14" x14ac:dyDescent="0.25">
      <c r="A62" s="35"/>
      <c r="B62" s="53"/>
      <c r="C62" s="42">
        <f t="shared" ref="C62:N62" si="39">($C13-5)^4*(C22-0.1)^4</f>
        <v>8.6745967516153361E-13</v>
      </c>
      <c r="D62" s="42">
        <f t="shared" si="39"/>
        <v>3.6687867133892593E-10</v>
      </c>
      <c r="E62" s="42">
        <f t="shared" si="39"/>
        <v>5.5431822006202618E-10</v>
      </c>
      <c r="F62" s="42">
        <f t="shared" si="39"/>
        <v>8.0578677399081419E-10</v>
      </c>
      <c r="G62" s="42">
        <f t="shared" si="39"/>
        <v>1.134432480665776E-9</v>
      </c>
      <c r="H62" s="42">
        <f t="shared" si="39"/>
        <v>1.5546322077488813E-9</v>
      </c>
      <c r="I62" s="42">
        <f t="shared" si="39"/>
        <v>2.0819915430235904E-9</v>
      </c>
      <c r="J62" s="42">
        <f t="shared" si="39"/>
        <v>2.7333447943948524E-9</v>
      </c>
      <c r="K62" s="42">
        <f t="shared" si="39"/>
        <v>3.5267549898890963E-9</v>
      </c>
      <c r="L62" s="42">
        <f t="shared" si="39"/>
        <v>4.4815138776542524E-9</v>
      </c>
      <c r="M62" s="42">
        <f t="shared" si="39"/>
        <v>5.6181419259597193E-9</v>
      </c>
      <c r="N62" s="56">
        <f t="shared" si="39"/>
        <v>1.2700477104040041E-8</v>
      </c>
    </row>
    <row r="63" spans="1:14" x14ac:dyDescent="0.25">
      <c r="A63" s="35"/>
      <c r="B63" s="53" t="s">
        <v>80</v>
      </c>
      <c r="C63" s="42">
        <f t="shared" ref="C63:N63" si="40">C60*C61+C62</f>
        <v>0.54984507319254716</v>
      </c>
      <c r="D63" s="42">
        <f t="shared" si="40"/>
        <v>0.66917221427477247</v>
      </c>
      <c r="E63" s="42">
        <f t="shared" si="40"/>
        <v>0.70596939762358968</v>
      </c>
      <c r="F63" s="42">
        <f t="shared" si="40"/>
        <v>0.75164773406498842</v>
      </c>
      <c r="G63" s="42">
        <f t="shared" si="40"/>
        <v>0.80812099749516542</v>
      </c>
      <c r="H63" s="42">
        <f t="shared" si="40"/>
        <v>0.87761312214551201</v>
      </c>
      <c r="I63" s="42">
        <f t="shared" si="40"/>
        <v>0.96269106656537085</v>
      </c>
      <c r="J63" s="42">
        <f t="shared" si="40"/>
        <v>1.0662994989615575</v>
      </c>
      <c r="K63" s="42">
        <f t="shared" si="40"/>
        <v>1.1917973198556848</v>
      </c>
      <c r="L63" s="42">
        <f t="shared" si="40"/>
        <v>1.3429960375395298</v>
      </c>
      <c r="M63" s="42">
        <f t="shared" si="40"/>
        <v>1.5242000113522816</v>
      </c>
      <c r="N63" s="56">
        <f t="shared" si="40"/>
        <v>2.7001355085235081</v>
      </c>
    </row>
    <row r="64" spans="1:14" x14ac:dyDescent="0.25">
      <c r="A64" s="35"/>
      <c r="B64" s="53" t="s">
        <v>81</v>
      </c>
      <c r="C64" s="42">
        <f t="shared" ref="C64:N64" si="41">0.16*($C5/$C6-2.5)</f>
        <v>5.8527412576470539E-2</v>
      </c>
      <c r="D64" s="42">
        <f t="shared" si="41"/>
        <v>5.8527412576470539E-2</v>
      </c>
      <c r="E64" s="42">
        <f t="shared" si="41"/>
        <v>5.8527412576470539E-2</v>
      </c>
      <c r="F64" s="42">
        <f t="shared" si="41"/>
        <v>5.8527412576470539E-2</v>
      </c>
      <c r="G64" s="42">
        <f t="shared" si="41"/>
        <v>5.8527412576470539E-2</v>
      </c>
      <c r="H64" s="42">
        <f t="shared" si="41"/>
        <v>5.8527412576470539E-2</v>
      </c>
      <c r="I64" s="42">
        <f t="shared" si="41"/>
        <v>5.8527412576470539E-2</v>
      </c>
      <c r="J64" s="42">
        <f t="shared" si="41"/>
        <v>5.8527412576470539E-2</v>
      </c>
      <c r="K64" s="42">
        <f t="shared" si="41"/>
        <v>5.8527412576470539E-2</v>
      </c>
      <c r="L64" s="42">
        <f t="shared" si="41"/>
        <v>5.8527412576470539E-2</v>
      </c>
      <c r="M64" s="42">
        <f t="shared" si="41"/>
        <v>5.8527412576470539E-2</v>
      </c>
      <c r="N64" s="56">
        <f t="shared" si="41"/>
        <v>5.8527412576470539E-2</v>
      </c>
    </row>
    <row r="65" spans="1:14" x14ac:dyDescent="0.25">
      <c r="A65" s="35"/>
      <c r="B65" s="53" t="s">
        <v>82</v>
      </c>
      <c r="C65" s="42">
        <f t="shared" ref="C65:N65" si="42">($C15-$C14)/3*0.1</f>
        <v>0</v>
      </c>
      <c r="D65" s="42">
        <f t="shared" si="42"/>
        <v>0</v>
      </c>
      <c r="E65" s="42">
        <f t="shared" si="42"/>
        <v>0</v>
      </c>
      <c r="F65" s="42">
        <f t="shared" si="42"/>
        <v>0</v>
      </c>
      <c r="G65" s="42">
        <f t="shared" si="42"/>
        <v>0</v>
      </c>
      <c r="H65" s="42">
        <f t="shared" si="42"/>
        <v>0</v>
      </c>
      <c r="I65" s="42">
        <f t="shared" si="42"/>
        <v>0</v>
      </c>
      <c r="J65" s="42">
        <f t="shared" si="42"/>
        <v>0</v>
      </c>
      <c r="K65" s="42">
        <f t="shared" si="42"/>
        <v>0</v>
      </c>
      <c r="L65" s="42">
        <f t="shared" si="42"/>
        <v>0</v>
      </c>
      <c r="M65" s="42">
        <f t="shared" si="42"/>
        <v>0</v>
      </c>
      <c r="N65" s="56">
        <f t="shared" si="42"/>
        <v>0</v>
      </c>
    </row>
    <row r="66" spans="1:14" x14ac:dyDescent="0.25">
      <c r="A66" s="35"/>
      <c r="B66" s="53" t="s">
        <v>83</v>
      </c>
      <c r="C66" s="53">
        <f>0.1*C5/C4+0.149</f>
        <v>0.16643404365847386</v>
      </c>
      <c r="D66" s="53" t="s">
        <v>84</v>
      </c>
      <c r="E66" s="53">
        <f>0.625*C5/C4+0.08</f>
        <v>0.18896277286546165</v>
      </c>
      <c r="F66" s="53"/>
      <c r="G66" s="53"/>
      <c r="H66" s="53"/>
      <c r="I66" s="53"/>
      <c r="J66" s="53"/>
      <c r="K66" s="53"/>
      <c r="L66" s="53"/>
      <c r="M66" s="53"/>
      <c r="N66" s="58"/>
    </row>
    <row r="67" spans="1:14" x14ac:dyDescent="0.25">
      <c r="A67" s="35"/>
      <c r="B67" s="53" t="s">
        <v>85</v>
      </c>
      <c r="C67" s="53">
        <f>0.05*C5/C4+0.449</f>
        <v>0.45771702182923696</v>
      </c>
      <c r="D67" s="53" t="s">
        <v>86</v>
      </c>
      <c r="E67" s="53">
        <f>0.165-0.25*C5/C4</f>
        <v>0.12141489085381535</v>
      </c>
      <c r="F67" s="53"/>
      <c r="G67" s="53"/>
      <c r="H67" s="53"/>
      <c r="I67" s="53"/>
      <c r="J67" s="53"/>
      <c r="K67" s="53"/>
      <c r="L67" s="53"/>
      <c r="M67" s="53"/>
      <c r="N67" s="58"/>
    </row>
    <row r="68" spans="1:14" x14ac:dyDescent="0.25">
      <c r="A68" s="35"/>
      <c r="B68" s="53" t="s">
        <v>87</v>
      </c>
      <c r="C68" s="53">
        <f>585-5027*C5/C4+11700*(C5/C4)^2</f>
        <v>64.207302882638999</v>
      </c>
      <c r="D68" s="53" t="s">
        <v>88</v>
      </c>
      <c r="E68" s="53">
        <f>825-8060*C5/C4+20300*(C5/C4)^2</f>
        <v>36.826214046719201</v>
      </c>
      <c r="F68" s="53"/>
      <c r="G68" s="53"/>
      <c r="H68" s="53"/>
      <c r="I68" s="53"/>
      <c r="J68" s="53"/>
      <c r="K68" s="53"/>
      <c r="L68" s="53"/>
      <c r="M68" s="53"/>
      <c r="N68" s="58"/>
    </row>
    <row r="69" spans="1:14" x14ac:dyDescent="0.25">
      <c r="A69" s="35"/>
      <c r="B69" s="53" t="s">
        <v>89</v>
      </c>
      <c r="C69" s="42">
        <f>C66+C67/(C68*(0.98-C11)^3+1)</f>
        <v>0.46353003608670068</v>
      </c>
      <c r="D69" s="42" t="s">
        <v>90</v>
      </c>
      <c r="E69" s="42">
        <f>E66+E67/(E68*(0.98-C11)^3+1)</f>
        <v>0.28164000857589228</v>
      </c>
      <c r="F69" s="42"/>
      <c r="G69" s="42"/>
      <c r="H69" s="53"/>
      <c r="I69" s="53"/>
      <c r="J69" s="53"/>
      <c r="K69" s="53"/>
      <c r="L69" s="53"/>
      <c r="M69" s="53"/>
      <c r="N69" s="58"/>
    </row>
    <row r="70" spans="1:14" x14ac:dyDescent="0.25">
      <c r="A70" s="35"/>
      <c r="B70" s="53" t="s">
        <v>91</v>
      </c>
      <c r="C70" s="42">
        <f>0.025*C15/(100*(C11-0.7)^2+1)</f>
        <v>0</v>
      </c>
      <c r="D70" s="42" t="s">
        <v>92</v>
      </c>
      <c r="E70" s="42">
        <f>-0.01*C15</f>
        <v>0</v>
      </c>
      <c r="F70" s="42"/>
      <c r="G70" s="42"/>
      <c r="H70" s="53"/>
      <c r="I70" s="53"/>
      <c r="J70" s="53"/>
      <c r="K70" s="53"/>
      <c r="L70" s="53"/>
      <c r="M70" s="53"/>
      <c r="N70" s="58"/>
    </row>
    <row r="71" spans="1:14" x14ac:dyDescent="0.25">
      <c r="A71" s="35"/>
      <c r="B71" s="53" t="s">
        <v>93</v>
      </c>
      <c r="C71" s="42">
        <f>0.00756/(C18/C4+0.002)-0.18</f>
        <v>-1.6686165081056942E-2</v>
      </c>
      <c r="D71" s="42" t="s">
        <v>94</v>
      </c>
      <c r="E71" s="42">
        <f>2*(C18/C4-0.04)</f>
        <v>8.5824808872099062E-3</v>
      </c>
      <c r="F71" s="42"/>
      <c r="G71" s="42"/>
      <c r="H71" s="53"/>
      <c r="I71" s="53"/>
      <c r="J71" s="53"/>
      <c r="K71" s="53"/>
      <c r="L71" s="53"/>
      <c r="M71" s="53"/>
      <c r="N71" s="58"/>
    </row>
    <row r="72" spans="1:14" x14ac:dyDescent="0.25">
      <c r="A72" s="35"/>
      <c r="B72" s="53" t="s">
        <v>93</v>
      </c>
      <c r="C72" s="42">
        <f>MIN(0.1,C71)</f>
        <v>-1.6686165081056942E-2</v>
      </c>
      <c r="D72" s="42"/>
      <c r="E72" s="42"/>
      <c r="F72" s="42"/>
      <c r="G72" s="42"/>
      <c r="H72" s="53"/>
      <c r="I72" s="53"/>
      <c r="J72" s="53"/>
      <c r="K72" s="53"/>
      <c r="L72" s="53"/>
      <c r="M72" s="53"/>
      <c r="N72" s="58"/>
    </row>
    <row r="73" spans="1:14" x14ac:dyDescent="0.25">
      <c r="A73" s="35"/>
      <c r="B73" s="53" t="s">
        <v>95</v>
      </c>
      <c r="C73" s="76">
        <f>C69+C70+C72</f>
        <v>0.44684387100564371</v>
      </c>
      <c r="D73" s="42" t="s">
        <v>96</v>
      </c>
      <c r="E73" s="76">
        <f>E69+E70+E71</f>
        <v>0.2902224894631022</v>
      </c>
      <c r="F73" s="42" t="s">
        <v>97</v>
      </c>
      <c r="G73" s="76">
        <f>0.7*C11-0.2</f>
        <v>0.34359067277204663</v>
      </c>
      <c r="H73" s="53"/>
      <c r="I73" s="53"/>
      <c r="J73" s="53"/>
      <c r="K73" s="53"/>
      <c r="L73" s="53"/>
      <c r="M73" s="53"/>
      <c r="N73" s="58"/>
    </row>
    <row r="74" spans="1:14" x14ac:dyDescent="0.25">
      <c r="A74" s="35"/>
      <c r="B74" s="53" t="s">
        <v>98</v>
      </c>
      <c r="C74" s="76">
        <f>1.133*C11^2-0.797*C11+0.215</f>
        <v>0.27933033098374571</v>
      </c>
      <c r="D74" s="42" t="s">
        <v>99</v>
      </c>
      <c r="E74" s="76">
        <f>0.0665+0.62833*C74</f>
        <v>0.24201162686701697</v>
      </c>
      <c r="F74" s="42" t="s">
        <v>100</v>
      </c>
      <c r="G74" s="76">
        <f>0.2*C11+0.06</f>
        <v>0.21531162079201335</v>
      </c>
      <c r="H74" s="53"/>
      <c r="I74" s="53"/>
      <c r="J74" s="53"/>
      <c r="K74" s="53"/>
      <c r="L74" s="53"/>
      <c r="M74" s="53"/>
      <c r="N74" s="58"/>
    </row>
    <row r="75" spans="1:14" x14ac:dyDescent="0.25">
      <c r="A75" s="22" t="s">
        <v>101</v>
      </c>
      <c r="B75" s="53" t="s">
        <v>102</v>
      </c>
      <c r="C75" s="53">
        <f t="shared" ref="C75:N75" si="43">IF(C22&gt;$J9,0,IF($C17=1,0.2,0.1))</f>
        <v>0.2</v>
      </c>
      <c r="D75" s="53">
        <f t="shared" si="43"/>
        <v>0.2</v>
      </c>
      <c r="E75" s="53">
        <f t="shared" si="43"/>
        <v>0.2</v>
      </c>
      <c r="F75" s="53">
        <f t="shared" si="43"/>
        <v>0.2</v>
      </c>
      <c r="G75" s="53">
        <f t="shared" si="43"/>
        <v>0.2</v>
      </c>
      <c r="H75" s="53">
        <f t="shared" si="43"/>
        <v>0.2</v>
      </c>
      <c r="I75" s="53">
        <f t="shared" si="43"/>
        <v>0.2</v>
      </c>
      <c r="J75" s="53">
        <f t="shared" si="43"/>
        <v>0.2</v>
      </c>
      <c r="K75" s="53">
        <f t="shared" si="43"/>
        <v>0.2</v>
      </c>
      <c r="L75" s="53">
        <f t="shared" si="43"/>
        <v>0.2</v>
      </c>
      <c r="M75" s="53">
        <f t="shared" si="43"/>
        <v>0.2</v>
      </c>
      <c r="N75" s="53">
        <f t="shared" si="43"/>
        <v>0.2</v>
      </c>
    </row>
    <row r="76" spans="1:14" x14ac:dyDescent="0.25">
      <c r="A76" s="22"/>
      <c r="B76" s="59" t="s">
        <v>123</v>
      </c>
      <c r="C76" s="67">
        <f t="shared" ref="C76:N76" si="44">C22</f>
        <v>0.12</v>
      </c>
      <c r="D76" s="67">
        <f t="shared" si="44"/>
        <v>0.19069812061401845</v>
      </c>
      <c r="E76" s="67">
        <f t="shared" si="44"/>
        <v>0.200555877516121</v>
      </c>
      <c r="F76" s="67">
        <f t="shared" si="44"/>
        <v>0.21041363441822353</v>
      </c>
      <c r="G76" s="67">
        <f t="shared" si="44"/>
        <v>0.22027139132032608</v>
      </c>
      <c r="H76" s="67">
        <f t="shared" si="44"/>
        <v>0.23012914822242861</v>
      </c>
      <c r="I76" s="67">
        <f t="shared" si="44"/>
        <v>0.23998690512453114</v>
      </c>
      <c r="J76" s="67">
        <f t="shared" si="44"/>
        <v>0.24984466202663369</v>
      </c>
      <c r="K76" s="67">
        <f t="shared" si="44"/>
        <v>0.25970241892873619</v>
      </c>
      <c r="L76" s="67">
        <f t="shared" si="44"/>
        <v>0.26956017583083874</v>
      </c>
      <c r="M76" s="67">
        <f t="shared" si="44"/>
        <v>0.27941793273294124</v>
      </c>
      <c r="N76" s="67">
        <f t="shared" si="44"/>
        <v>0.32</v>
      </c>
    </row>
    <row r="77" spans="1:14" x14ac:dyDescent="0.25">
      <c r="A77" s="22"/>
      <c r="B77" s="59" t="s">
        <v>103</v>
      </c>
      <c r="C77" s="49">
        <f t="shared" ref="C77:N77" si="45">C22^2</f>
        <v>1.44E-2</v>
      </c>
      <c r="D77" s="49">
        <f t="shared" si="45"/>
        <v>3.6365773205718724E-2</v>
      </c>
      <c r="E77" s="49">
        <f t="shared" si="45"/>
        <v>4.0222660006261332E-2</v>
      </c>
      <c r="F77" s="49">
        <f t="shared" si="45"/>
        <v>4.4273897549085818E-2</v>
      </c>
      <c r="G77" s="49">
        <f t="shared" si="45"/>
        <v>4.8519485834192223E-2</v>
      </c>
      <c r="H77" s="49">
        <f t="shared" si="45"/>
        <v>5.2959424861580513E-2</v>
      </c>
      <c r="I77" s="49">
        <f t="shared" si="45"/>
        <v>5.7593714631250709E-2</v>
      </c>
      <c r="J77" s="49">
        <f t="shared" si="45"/>
        <v>6.2422355143202816E-2</v>
      </c>
      <c r="K77" s="49">
        <f t="shared" si="45"/>
        <v>6.7445346397436795E-2</v>
      </c>
      <c r="L77" s="49">
        <f t="shared" si="45"/>
        <v>7.2662688393952707E-2</v>
      </c>
      <c r="M77" s="49">
        <f t="shared" si="45"/>
        <v>7.8074381132750476E-2</v>
      </c>
      <c r="N77" s="49">
        <f t="shared" si="45"/>
        <v>0.1024</v>
      </c>
    </row>
    <row r="78" spans="1:14" x14ac:dyDescent="0.25">
      <c r="A78" s="22"/>
      <c r="B78" s="59" t="s">
        <v>104</v>
      </c>
      <c r="C78" s="49">
        <f t="shared" ref="C78:N78" si="46">C22^3</f>
        <v>1.7279999999999999E-3</v>
      </c>
      <c r="D78" s="49">
        <f t="shared" si="46"/>
        <v>6.9348846050061898E-3</v>
      </c>
      <c r="E78" s="49">
        <f t="shared" si="46"/>
        <v>8.0668908735883268E-3</v>
      </c>
      <c r="F78" s="49">
        <f t="shared" si="46"/>
        <v>9.3158316931632266E-3</v>
      </c>
      <c r="G78" s="49">
        <f t="shared" si="46"/>
        <v>1.0687454650844374E-2</v>
      </c>
      <c r="H78" s="49">
        <f t="shared" si="46"/>
        <v>1.2187507333745233E-2</v>
      </c>
      <c r="I78" s="49">
        <f t="shared" si="46"/>
        <v>1.3821737328979285E-2</v>
      </c>
      <c r="J78" s="49">
        <f t="shared" si="46"/>
        <v>1.5595892223660007E-2</v>
      </c>
      <c r="K78" s="49">
        <f t="shared" si="46"/>
        <v>1.7515719604900858E-2</v>
      </c>
      <c r="L78" s="49">
        <f t="shared" si="46"/>
        <v>1.9586967059815337E-2</v>
      </c>
      <c r="M78" s="49">
        <f t="shared" si="46"/>
        <v>2.181538217551689E-2</v>
      </c>
      <c r="N78" s="49">
        <f t="shared" si="46"/>
        <v>3.2768000000000005E-2</v>
      </c>
    </row>
    <row r="79" spans="1:14" x14ac:dyDescent="0.25">
      <c r="A79" s="22"/>
      <c r="B79" s="59" t="s">
        <v>105</v>
      </c>
      <c r="C79" s="49">
        <f t="shared" ref="C79:N79" si="47">C22^4</f>
        <v>2.0735999999999999E-4</v>
      </c>
      <c r="D79" s="49">
        <f t="shared" si="47"/>
        <v>1.32246946084977E-3</v>
      </c>
      <c r="E79" s="49">
        <f t="shared" si="47"/>
        <v>1.6178623779792949E-3</v>
      </c>
      <c r="F79" s="49">
        <f t="shared" si="47"/>
        <v>1.9601780041869472E-3</v>
      </c>
      <c r="G79" s="49">
        <f t="shared" si="47"/>
        <v>2.35414050561438E-3</v>
      </c>
      <c r="H79" s="49">
        <f t="shared" si="47"/>
        <v>2.8047006816693922E-3</v>
      </c>
      <c r="I79" s="49">
        <f t="shared" si="47"/>
        <v>3.3170359650259418E-3</v>
      </c>
      <c r="J79" s="49">
        <f t="shared" si="47"/>
        <v>3.8965504216241392E-3</v>
      </c>
      <c r="K79" s="49">
        <f t="shared" si="47"/>
        <v>4.5488747506702409E-3</v>
      </c>
      <c r="L79" s="49">
        <f t="shared" si="47"/>
        <v>5.2798662846366695E-3</v>
      </c>
      <c r="M79" s="49">
        <f t="shared" si="47"/>
        <v>6.0956089892619837E-3</v>
      </c>
      <c r="N79" s="49">
        <f t="shared" si="47"/>
        <v>1.048576E-2</v>
      </c>
    </row>
    <row r="80" spans="1:14" x14ac:dyDescent="0.25">
      <c r="A80" s="22"/>
      <c r="B80" s="59" t="s">
        <v>106</v>
      </c>
      <c r="C80" s="49">
        <f t="shared" ref="C80:N80" si="48">C22^5</f>
        <v>2.4883199999999999E-5</v>
      </c>
      <c r="D80" s="49">
        <f t="shared" si="48"/>
        <v>2.521924407534854E-4</v>
      </c>
      <c r="E80" s="49">
        <f t="shared" si="48"/>
        <v>3.2447180891595571E-4</v>
      </c>
      <c r="F80" s="49">
        <f t="shared" si="48"/>
        <v>4.124481779676353E-4</v>
      </c>
      <c r="G80" s="49">
        <f t="shared" si="48"/>
        <v>5.1854980453521545E-4</v>
      </c>
      <c r="H80" s="49">
        <f t="shared" si="48"/>
        <v>6.4544337889144209E-4</v>
      </c>
      <c r="I80" s="49">
        <f t="shared" si="48"/>
        <v>7.9604519543333824E-4</v>
      </c>
      <c r="J80" s="49">
        <f t="shared" si="48"/>
        <v>9.7353232316042002E-4</v>
      </c>
      <c r="K80" s="49">
        <f t="shared" si="48"/>
        <v>1.1813537761529132E-3</v>
      </c>
      <c r="L80" s="49">
        <f t="shared" si="48"/>
        <v>1.4232416840499779E-3</v>
      </c>
      <c r="M80" s="49">
        <f t="shared" si="48"/>
        <v>1.7032224625279169E-3</v>
      </c>
      <c r="N80" s="49">
        <f t="shared" si="48"/>
        <v>3.3554432000000001E-3</v>
      </c>
    </row>
    <row r="81" spans="1:14" x14ac:dyDescent="0.25">
      <c r="A81" s="22"/>
      <c r="B81" s="59" t="s">
        <v>204</v>
      </c>
      <c r="C81" s="49">
        <f t="shared" ref="C81:N81" si="49">C22^6</f>
        <v>2.9859839999999999E-6</v>
      </c>
      <c r="D81" s="49">
        <f t="shared" si="49"/>
        <v>4.8092624484751853E-5</v>
      </c>
      <c r="E81" s="49">
        <f t="shared" si="49"/>
        <v>6.5074728366382636E-5</v>
      </c>
      <c r="F81" s="49">
        <f t="shared" si="49"/>
        <v>8.678472013534441E-5</v>
      </c>
      <c r="G81" s="49">
        <f t="shared" si="49"/>
        <v>1.1422168691385502E-4</v>
      </c>
      <c r="H81" s="49">
        <f t="shared" si="49"/>
        <v>1.4853533501009382E-4</v>
      </c>
      <c r="I81" s="49">
        <f t="shared" si="49"/>
        <v>1.9104042279129941E-4</v>
      </c>
      <c r="J81" s="49">
        <f t="shared" si="49"/>
        <v>2.4323185425201868E-4</v>
      </c>
      <c r="K81" s="49">
        <f t="shared" si="49"/>
        <v>3.068004332775083E-4</v>
      </c>
      <c r="L81" s="49">
        <f t="shared" si="49"/>
        <v>3.836492786022911E-4</v>
      </c>
      <c r="M81" s="49">
        <f t="shared" si="49"/>
        <v>4.7591089946386002E-4</v>
      </c>
      <c r="N81" s="49">
        <f t="shared" si="49"/>
        <v>1.073741824E-3</v>
      </c>
    </row>
    <row r="82" spans="1:14" x14ac:dyDescent="0.25">
      <c r="A82" s="75" t="s">
        <v>205</v>
      </c>
      <c r="B82" s="73" t="s">
        <v>210</v>
      </c>
      <c r="C82" s="77">
        <f xml:space="preserve"> 81963.95967*C80 - 69372.12684*C79 + 23700.28578*C78 - 4016.65661*C77 + 339.10948*C76 - 10.91</f>
        <v>0.55189762355814054</v>
      </c>
      <c r="D82" s="77">
        <f xml:space="preserve"> 81963.95967*D80 - 69372.12684*D79 + 23700.28578*D78 - 4016.65661*D77 + 339.10948*D76 - 10.91</f>
        <v>0.97563604675603344</v>
      </c>
      <c r="E82" s="77">
        <f t="shared" ref="E82:N82" si="50" xml:space="preserve"> 81963.95967*E80 - 69372.12684*E79 + 23700.28578*E78 - 4016.65661*E77 + 339.10948*E76 - 10.91</f>
        <v>1.087845374816137</v>
      </c>
      <c r="F82" s="77">
        <f t="shared" si="50"/>
        <v>1.2222570072945409</v>
      </c>
      <c r="G82" s="77">
        <f t="shared" si="50"/>
        <v>1.3863944767527805</v>
      </c>
      <c r="H82" s="77">
        <f t="shared" si="50"/>
        <v>1.5916022498159741</v>
      </c>
      <c r="I82" s="77">
        <f t="shared" si="50"/>
        <v>1.8539613037990925</v>
      </c>
      <c r="J82" s="77">
        <f t="shared" si="50"/>
        <v>2.1952047033330579</v>
      </c>
      <c r="K82" s="77">
        <f t="shared" si="50"/>
        <v>2.6436331769910133</v>
      </c>
      <c r="L82" s="77">
        <f t="shared" si="50"/>
        <v>3.2350306939143785</v>
      </c>
      <c r="M82" s="77">
        <f t="shared" si="50"/>
        <v>4.0135800404393187</v>
      </c>
      <c r="N82" s="77">
        <f t="shared" si="50"/>
        <v>10.516299561017544</v>
      </c>
    </row>
    <row r="83" spans="1:14" x14ac:dyDescent="0.25">
      <c r="A83" s="75" t="s">
        <v>132</v>
      </c>
      <c r="B83" s="73" t="s">
        <v>107</v>
      </c>
      <c r="C83" s="77">
        <f t="shared" ref="C83:N83" si="51" xml:space="preserve"> 211855.99746*C80 - 178462.85551*C79 + 59866.35075*C78 - 9901.7271*C77 + 808.21686*C76 - 25.47</f>
        <v>0.64580449344308022</v>
      </c>
      <c r="D83" s="77">
        <f t="shared" si="51"/>
        <v>1.1545131408015266</v>
      </c>
      <c r="E83" s="77">
        <f t="shared" si="51"/>
        <v>1.2971163919089577</v>
      </c>
      <c r="F83" s="77">
        <f t="shared" si="51"/>
        <v>1.4672996059516947</v>
      </c>
      <c r="G83" s="77">
        <f t="shared" si="51"/>
        <v>1.6805023992246504</v>
      </c>
      <c r="H83" s="77">
        <f t="shared" si="51"/>
        <v>1.9622323661057521</v>
      </c>
      <c r="I83" s="77">
        <f t="shared" si="51"/>
        <v>2.3504316118592783</v>
      </c>
      <c r="J83" s="77">
        <f t="shared" si="51"/>
        <v>2.8978432854424909</v>
      </c>
      <c r="K83" s="77">
        <f t="shared" si="51"/>
        <v>3.6743781123092276</v>
      </c>
      <c r="L83" s="77">
        <f t="shared" si="51"/>
        <v>4.7694809272164775</v>
      </c>
      <c r="M83" s="77">
        <f t="shared" si="51"/>
        <v>6.2944972070279732</v>
      </c>
      <c r="N83" s="77">
        <f t="shared" si="51"/>
        <v>20.475215799836889</v>
      </c>
    </row>
    <row r="84" spans="1:14" x14ac:dyDescent="0.25">
      <c r="A84" s="75" t="s">
        <v>133</v>
      </c>
      <c r="B84" s="73" t="s">
        <v>108</v>
      </c>
      <c r="C84" s="77">
        <f t="shared" ref="C84:N84" si="52" xml:space="preserve"> 189330.79305*C80 - 133987.07846*C79 + 36767.07838*C78 - 4746.53331*C77 + 281.6148*C76 - 5.18</f>
        <v>0.72480317679617201</v>
      </c>
      <c r="D84" s="77">
        <f t="shared" si="52"/>
        <v>1.4414804580017062</v>
      </c>
      <c r="E84" s="77">
        <f t="shared" si="52"/>
        <v>1.6371683597634004</v>
      </c>
      <c r="F84" s="77">
        <f t="shared" si="52"/>
        <v>1.8945947151956446</v>
      </c>
      <c r="G84" s="77">
        <f t="shared" si="52"/>
        <v>2.2518480435762882</v>
      </c>
      <c r="H84" s="77">
        <f t="shared" si="52"/>
        <v>2.7617937662673953</v>
      </c>
      <c r="I84" s="77">
        <f t="shared" si="52"/>
        <v>3.4941891222147134</v>
      </c>
      <c r="J84" s="77">
        <f t="shared" si="52"/>
        <v>4.5377980834476759</v>
      </c>
      <c r="K84" s="77">
        <f t="shared" si="52"/>
        <v>6.0025062705793104</v>
      </c>
      <c r="L84" s="77">
        <f t="shared" si="52"/>
        <v>8.0214358683059643</v>
      </c>
      <c r="M84" s="77">
        <f t="shared" si="52"/>
        <v>10.753060540907192</v>
      </c>
      <c r="N84" s="77">
        <f t="shared" si="52"/>
        <v>34.007723669340471</v>
      </c>
    </row>
    <row r="85" spans="1:14" x14ac:dyDescent="0.25">
      <c r="A85" s="75" t="s">
        <v>134</v>
      </c>
      <c r="B85" s="73" t="s">
        <v>109</v>
      </c>
      <c r="C85" s="77">
        <f t="shared" ref="C85:N85" si="53" xml:space="preserve"> -183277.76453*C80 + 217604.57034*C79 - 91711.5592*C78 + 18157.61937*C77 - 1715.03079*C76 + 63.08</f>
        <v>0.83039626574954184</v>
      </c>
      <c r="D85" s="77">
        <f t="shared" si="53"/>
        <v>1.8877715631385428</v>
      </c>
      <c r="E85" s="77">
        <f t="shared" si="53"/>
        <v>2.2268853122767069</v>
      </c>
      <c r="F85" s="77">
        <f t="shared" si="53"/>
        <v>2.7043805834831716</v>
      </c>
      <c r="G85" s="77">
        <f t="shared" si="53"/>
        <v>3.3760918981669903</v>
      </c>
      <c r="H85" s="77">
        <f t="shared" si="53"/>
        <v>4.303470626604863</v>
      </c>
      <c r="I85" s="77">
        <f t="shared" si="53"/>
        <v>5.5515376876649754</v>
      </c>
      <c r="J85" s="77">
        <f t="shared" si="53"/>
        <v>7.1868362485309518</v>
      </c>
      <c r="K85" s="77">
        <f t="shared" si="53"/>
        <v>9.275384424423649</v>
      </c>
      <c r="L85" s="77">
        <f t="shared" si="53"/>
        <v>11.880627978325563</v>
      </c>
      <c r="M85" s="77">
        <f t="shared" si="53"/>
        <v>15.061393020704841</v>
      </c>
      <c r="N85" s="77">
        <f t="shared" si="53"/>
        <v>35.17716960736864</v>
      </c>
    </row>
    <row r="86" spans="1:14" x14ac:dyDescent="0.25">
      <c r="A86" s="75" t="s">
        <v>206</v>
      </c>
      <c r="B86" s="73" t="s">
        <v>211</v>
      </c>
      <c r="C86" s="77">
        <f xml:space="preserve"> 108656.82305*C80 - 92884.66951*C79 + 31771.52118*C78 - 5373.60627*C77 + 450.34486*C76 - 14.5</f>
        <v>0.50580590076415888</v>
      </c>
      <c r="D86" s="77">
        <f xml:space="preserve"> 108656.82305*D80 - 92884.66951*D79 + 31771.52118*D78 - 5373.60627*D77 + 450.34486*D76 - 14.5</f>
        <v>0.86169522874551774</v>
      </c>
      <c r="E86" s="77">
        <f t="shared" ref="E86:N86" si="54" xml:space="preserve"> 108656.82305*E80 - 92884.66951*E79 + 31771.52118*E78 - 5373.60627*E77 + 450.34486*E76 - 14.5</f>
        <v>0.95742845823563982</v>
      </c>
      <c r="F86" s="77">
        <f t="shared" si="54"/>
        <v>1.0711718067598213</v>
      </c>
      <c r="G86" s="77">
        <f t="shared" si="54"/>
        <v>1.2105788998564577</v>
      </c>
      <c r="H86" s="77">
        <f t="shared" si="54"/>
        <v>1.3881600495262205</v>
      </c>
      <c r="I86" s="77">
        <f t="shared" si="54"/>
        <v>1.6224960029069848</v>
      </c>
      <c r="J86" s="77">
        <f t="shared" si="54"/>
        <v>1.9394516909492836</v>
      </c>
      <c r="K86" s="77">
        <f t="shared" si="54"/>
        <v>2.3733899770909801</v>
      </c>
      <c r="L86" s="77">
        <f t="shared" si="54"/>
        <v>2.9683854059330059</v>
      </c>
      <c r="M86" s="77">
        <f t="shared" si="54"/>
        <v>3.7794379519140904</v>
      </c>
      <c r="N86" s="77">
        <f t="shared" si="54"/>
        <v>11.067725053788109</v>
      </c>
    </row>
    <row r="87" spans="1:14" x14ac:dyDescent="0.25">
      <c r="A87" s="75" t="s">
        <v>135</v>
      </c>
      <c r="B87" s="73" t="s">
        <v>110</v>
      </c>
      <c r="C87" s="77">
        <f t="shared" ref="C87:N87" si="55" xml:space="preserve"> 236068.11145*C80 - 206198.08468*C79 + 71647.62804*C78 - 12274.26804*C77 + 1036.91016*C76 - 34.06</f>
        <v>0.54375586870779102</v>
      </c>
      <c r="D87" s="77">
        <f t="shared" si="55"/>
        <v>1.0255269641717177</v>
      </c>
      <c r="E87" s="77">
        <f t="shared" si="55"/>
        <v>1.1656371300628621</v>
      </c>
      <c r="F87" s="77">
        <f t="shared" si="55"/>
        <v>1.3285060214050475</v>
      </c>
      <c r="G87" s="77">
        <f t="shared" si="55"/>
        <v>1.5250545676922229</v>
      </c>
      <c r="H87" s="77">
        <f t="shared" si="55"/>
        <v>1.7757589335439832</v>
      </c>
      <c r="I87" s="77">
        <f t="shared" si="55"/>
        <v>2.1132875124019961</v>
      </c>
      <c r="J87" s="77">
        <f t="shared" si="55"/>
        <v>2.5851379202268276</v>
      </c>
      <c r="K87" s="77">
        <f t="shared" si="55"/>
        <v>3.2562739891955061</v>
      </c>
      <c r="L87" s="77">
        <f t="shared" si="55"/>
        <v>4.2117627613987452</v>
      </c>
      <c r="M87" s="77">
        <f t="shared" si="55"/>
        <v>5.5594114825370866</v>
      </c>
      <c r="N87" s="77">
        <f t="shared" si="55"/>
        <v>18.585190406308016</v>
      </c>
    </row>
    <row r="88" spans="1:14" x14ac:dyDescent="0.25">
      <c r="A88" s="75" t="s">
        <v>136</v>
      </c>
      <c r="B88" s="73" t="s">
        <v>111</v>
      </c>
      <c r="C88" s="77">
        <f t="shared" ref="C88:N88" si="56" xml:space="preserve"> 153905.69184*C80 - 114943.493048*C79 + 33802.921153*C78 - 4780.049092*C77 + 322.837994*C76 - 7.67</f>
        <v>0.64428350034379811</v>
      </c>
      <c r="D88" s="77">
        <f t="shared" si="56"/>
        <v>1.2883678265093668</v>
      </c>
      <c r="E88" s="77">
        <f t="shared" si="56"/>
        <v>1.4705491291241106</v>
      </c>
      <c r="F88" s="77">
        <f t="shared" si="56"/>
        <v>1.6988514467864793</v>
      </c>
      <c r="G88" s="77">
        <f t="shared" si="56"/>
        <v>1.9982703715486299</v>
      </c>
      <c r="H88" s="77">
        <f t="shared" si="56"/>
        <v>2.4044477714647758</v>
      </c>
      <c r="I88" s="77">
        <f t="shared" si="56"/>
        <v>2.9653909907691247</v>
      </c>
      <c r="J88" s="77">
        <f t="shared" si="56"/>
        <v>3.7431920500545335</v>
      </c>
      <c r="K88" s="77">
        <f t="shared" si="56"/>
        <v>4.8157468464505957</v>
      </c>
      <c r="L88" s="77">
        <f t="shared" si="56"/>
        <v>6.2784743538027232</v>
      </c>
      <c r="M88" s="77">
        <f t="shared" si="56"/>
        <v>8.2460358228493238</v>
      </c>
      <c r="N88" s="77">
        <f t="shared" si="56"/>
        <v>24.967176863531179</v>
      </c>
    </row>
    <row r="89" spans="1:14" x14ac:dyDescent="0.25">
      <c r="A89" s="75" t="s">
        <v>137</v>
      </c>
      <c r="B89" s="73" t="s">
        <v>112</v>
      </c>
      <c r="C89" s="77">
        <f t="shared" ref="C89:N89" si="57">-9980220.15991*C81 + 10826099.46985*C80 - 4792166.95182*C79 + 1110018.19846*C78 - 141933.11234*C77 + 9505.46225*C76 - 260.06</f>
        <v>0.75358072768784723</v>
      </c>
      <c r="D89" s="77">
        <f t="shared" si="57"/>
        <v>1.7455523215252811</v>
      </c>
      <c r="E89" s="77">
        <f t="shared" si="57"/>
        <v>2.0220183348944261</v>
      </c>
      <c r="F89" s="77">
        <f t="shared" si="57"/>
        <v>2.4036335052211939</v>
      </c>
      <c r="G89" s="77">
        <f t="shared" si="57"/>
        <v>2.9487696069926983</v>
      </c>
      <c r="H89" s="77">
        <f t="shared" si="57"/>
        <v>3.7078276993988197</v>
      </c>
      <c r="I89" s="77">
        <f t="shared" si="57"/>
        <v>4.7001275836386753</v>
      </c>
      <c r="J89" s="77">
        <f t="shared" si="57"/>
        <v>5.8842033770887952</v>
      </c>
      <c r="K89" s="77">
        <f t="shared" si="57"/>
        <v>7.1215052043993978</v>
      </c>
      <c r="L89" s="77">
        <f t="shared" si="57"/>
        <v>8.1335070055569645</v>
      </c>
      <c r="M89" s="77">
        <f t="shared" si="57"/>
        <v>8.4522204608001061</v>
      </c>
      <c r="N89" s="77">
        <f t="shared" si="57"/>
        <v>-18.516942986341803</v>
      </c>
    </row>
    <row r="90" spans="1:14" x14ac:dyDescent="0.25">
      <c r="A90" s="75" t="s">
        <v>207</v>
      </c>
      <c r="B90" s="73" t="s">
        <v>212</v>
      </c>
      <c r="C90" s="77">
        <f xml:space="preserve"> 12205.28697*C80 - 8294.72385*C79 + 2539.32664*C78 - 405.17899*C77 + 34.1222*C76 - 0.78</f>
        <v>0.45175563711590416</v>
      </c>
      <c r="D90" s="77">
        <f t="shared" ref="D90:N90" si="58" xml:space="preserve"> 12205.28697*D80 - 8294.72385*D79 + 2539.32664*D78 - 405.17899*D77 + 34.1222*D76 - 0.78</f>
        <v>0.71089150922536626</v>
      </c>
      <c r="E90" s="77">
        <f t="shared" si="58"/>
        <v>0.7910517934576069</v>
      </c>
      <c r="F90" s="77">
        <f t="shared" si="58"/>
        <v>0.89177574702287843</v>
      </c>
      <c r="G90" s="77">
        <f t="shared" si="58"/>
        <v>1.0181102863931939</v>
      </c>
      <c r="H90" s="77">
        <f t="shared" si="58"/>
        <v>1.1761326187560395</v>
      </c>
      <c r="I90" s="77">
        <f t="shared" si="58"/>
        <v>1.3730865809066171</v>
      </c>
      <c r="J90" s="77">
        <f t="shared" si="58"/>
        <v>1.6175189781400754</v>
      </c>
      <c r="K90" s="77">
        <f t="shared" si="58"/>
        <v>1.9194159231437713</v>
      </c>
      <c r="L90" s="77">
        <f t="shared" si="58"/>
        <v>2.2903391748895059</v>
      </c>
      <c r="M90" s="77">
        <f t="shared" si="58"/>
        <v>2.7435624775257983</v>
      </c>
      <c r="N90" s="77">
        <f t="shared" si="58"/>
        <v>5.8350943736791239</v>
      </c>
    </row>
    <row r="91" spans="1:14" x14ac:dyDescent="0.25">
      <c r="A91" s="75" t="s">
        <v>138</v>
      </c>
      <c r="B91" s="73" t="s">
        <v>113</v>
      </c>
      <c r="C91" s="77">
        <f t="shared" ref="C91:N91" si="59" xml:space="preserve"> 78193.22061*C80 - 62747.6239*C79 + 20041.29771*C78 - 3113.11297*C77 + 235.21739*C76 - 6.47</f>
        <v>0.49297273005874853</v>
      </c>
      <c r="D91" s="77">
        <f t="shared" si="59"/>
        <v>0.89676373873247339</v>
      </c>
      <c r="E91" s="77">
        <f t="shared" si="59"/>
        <v>1.0119828176615036</v>
      </c>
      <c r="F91" s="77">
        <f t="shared" si="59"/>
        <v>1.1487967809367055</v>
      </c>
      <c r="G91" s="77">
        <f t="shared" si="59"/>
        <v>1.315837738824384</v>
      </c>
      <c r="H91" s="77">
        <f t="shared" si="59"/>
        <v>1.5261609973303001</v>
      </c>
      <c r="I91" s="77">
        <f t="shared" si="59"/>
        <v>1.7981185138667461</v>
      </c>
      <c r="J91" s="77">
        <f t="shared" si="59"/>
        <v>2.1562323529207452</v>
      </c>
      <c r="K91" s="77">
        <f t="shared" si="59"/>
        <v>2.6320681417210769</v>
      </c>
      <c r="L91" s="77">
        <f t="shared" si="59"/>
        <v>3.2651085259066113</v>
      </c>
      <c r="M91" s="77">
        <f t="shared" si="59"/>
        <v>4.1036266251934128</v>
      </c>
      <c r="N91" s="77">
        <f t="shared" si="59"/>
        <v>11.146425629540445</v>
      </c>
    </row>
    <row r="92" spans="1:14" x14ac:dyDescent="0.25">
      <c r="A92" s="75" t="s">
        <v>139</v>
      </c>
      <c r="B92" s="73" t="s">
        <v>114</v>
      </c>
      <c r="C92" s="77">
        <f t="shared" ref="C92:N92" si="60" xml:space="preserve"> 112229.10217*C80 - 90275.82325*C79 + 29064.78003*C78 - 4576.65461*C77 + 352.54132*C76 - 10.15</f>
        <v>0.54809639383654307</v>
      </c>
      <c r="D92" s="77">
        <f t="shared" si="60"/>
        <v>1.1225910511845196</v>
      </c>
      <c r="E92" s="77">
        <f t="shared" si="60"/>
        <v>1.2927419328623753</v>
      </c>
      <c r="F92" s="77">
        <f t="shared" si="60"/>
        <v>1.4977677218398124</v>
      </c>
      <c r="G92" s="77">
        <f t="shared" si="60"/>
        <v>1.7507638467177795</v>
      </c>
      <c r="H92" s="77">
        <f t="shared" si="60"/>
        <v>2.0711254254436877</v>
      </c>
      <c r="I92" s="77">
        <f t="shared" si="60"/>
        <v>2.4858009180522824</v>
      </c>
      <c r="J92" s="77">
        <f t="shared" si="60"/>
        <v>3.0305457794071113</v>
      </c>
      <c r="K92" s="77">
        <f t="shared" si="60"/>
        <v>3.7511761119417084</v>
      </c>
      <c r="L92" s="77">
        <f t="shared" si="60"/>
        <v>4.7048223184011757</v>
      </c>
      <c r="M92" s="77">
        <f t="shared" si="60"/>
        <v>5.9611827545826994</v>
      </c>
      <c r="N92" s="77">
        <f t="shared" si="60"/>
        <v>16.376263675551918</v>
      </c>
    </row>
    <row r="93" spans="1:14" x14ac:dyDescent="0.25">
      <c r="A93" s="75" t="s">
        <v>140</v>
      </c>
      <c r="B93" s="73" t="s">
        <v>115</v>
      </c>
      <c r="C93" s="77">
        <f t="shared" ref="C93:N93" si="61" xml:space="preserve"> -6333849.33191*C81 + 7003086.05505*C80 - 3170231.50477*C79 + 753388.16765*C78 - 99065.81153*C77 + 6833.52117*C76 - 192.64</f>
        <v>0.65682139961882058</v>
      </c>
      <c r="D93" s="77">
        <f t="shared" si="61"/>
        <v>1.5343938695356201</v>
      </c>
      <c r="E93" s="77">
        <f t="shared" si="61"/>
        <v>1.8047076804729159</v>
      </c>
      <c r="F93" s="77">
        <f t="shared" si="61"/>
        <v>2.1444824813846708</v>
      </c>
      <c r="G93" s="77">
        <f t="shared" si="61"/>
        <v>2.5844048789548424</v>
      </c>
      <c r="H93" s="77">
        <f t="shared" si="61"/>
        <v>3.1524536708576534</v>
      </c>
      <c r="I93" s="77">
        <f t="shared" si="61"/>
        <v>3.8607120223729225</v>
      </c>
      <c r="J93" s="77">
        <f t="shared" si="61"/>
        <v>4.6879948994511551</v>
      </c>
      <c r="K93" s="77">
        <f t="shared" si="61"/>
        <v>5.5582917582315758</v>
      </c>
      <c r="L93" s="77">
        <f t="shared" si="61"/>
        <v>6.3150244910071933</v>
      </c>
      <c r="M93" s="77">
        <f t="shared" si="61"/>
        <v>6.6911206286437164</v>
      </c>
      <c r="N93" s="77">
        <f t="shared" si="61"/>
        <v>-7.9770043277518425</v>
      </c>
    </row>
    <row r="94" spans="1:14" x14ac:dyDescent="0.25">
      <c r="A94" s="75" t="s">
        <v>208</v>
      </c>
      <c r="B94" s="73" t="s">
        <v>213</v>
      </c>
      <c r="C94" s="77">
        <f xml:space="preserve"> 53881.87664*C80 - 47719.69516*C79 + 17198.62503*C78 - 3090.1397*C77 + 275.82793*C76 - 9.37</f>
        <v>0.39616149627084063</v>
      </c>
      <c r="D94" s="77">
        <f t="shared" ref="D94:N94" si="62" xml:space="preserve"> 53881.87664*D80 - 47719.69516*D79 + 17198.62503*D78 - 3090.1397*D77 + 275.82793*D76 - 9.37</f>
        <v>0.6057907595476717</v>
      </c>
      <c r="E94" s="77">
        <f t="shared" si="62"/>
        <v>0.67395580559207069</v>
      </c>
      <c r="F94" s="77">
        <f t="shared" si="62"/>
        <v>0.7593098950034527</v>
      </c>
      <c r="G94" s="77">
        <f t="shared" si="62"/>
        <v>0.86610687921854712</v>
      </c>
      <c r="H94" s="77">
        <f t="shared" si="62"/>
        <v>1.0006329916038847</v>
      </c>
      <c r="I94" s="77">
        <f t="shared" si="62"/>
        <v>1.1718087337850331</v>
      </c>
      <c r="J94" s="77">
        <f t="shared" si="62"/>
        <v>1.3917907619760737</v>
      </c>
      <c r="K94" s="77">
        <f t="shared" si="62"/>
        <v>1.6765737733087942</v>
      </c>
      <c r="L94" s="77">
        <f t="shared" si="62"/>
        <v>2.0465923921623723</v>
      </c>
      <c r="M94" s="77">
        <f t="shared" si="62"/>
        <v>2.5273230564924685</v>
      </c>
      <c r="N94" s="77">
        <f t="shared" si="62"/>
        <v>6.4494831570452842</v>
      </c>
    </row>
    <row r="95" spans="1:14" x14ac:dyDescent="0.25">
      <c r="A95" s="75" t="s">
        <v>148</v>
      </c>
      <c r="B95" s="73" t="s">
        <v>116</v>
      </c>
      <c r="C95" s="77">
        <f t="shared" ref="C95:N95" si="63" xml:space="preserve"> -13296.8167*C80 + 17338.63401*C79 - 7542.52455*C78 + 1552.59022*C77 - 152.78609*C76 + 6.19</f>
        <v>0.4439577446041616</v>
      </c>
      <c r="D95" s="77">
        <f t="shared" si="63"/>
        <v>0.78504353154790874</v>
      </c>
      <c r="E95" s="77">
        <f t="shared" si="63"/>
        <v>0.88951922254693638</v>
      </c>
      <c r="F95" s="77">
        <f t="shared" si="63"/>
        <v>1.0186157895562102</v>
      </c>
      <c r="G95" s="77">
        <f t="shared" si="63"/>
        <v>1.1786044201359642</v>
      </c>
      <c r="H95" s="77">
        <f t="shared" si="63"/>
        <v>1.3765154046159322</v>
      </c>
      <c r="I95" s="77">
        <f t="shared" si="63"/>
        <v>1.6199896042941857</v>
      </c>
      <c r="J95" s="77">
        <f t="shared" si="63"/>
        <v>1.9171299196357436</v>
      </c>
      <c r="K95" s="77">
        <f t="shared" si="63"/>
        <v>2.2763527584712007</v>
      </c>
      <c r="L95" s="77">
        <f t="shared" si="63"/>
        <v>2.7062395041954685</v>
      </c>
      <c r="M95" s="77">
        <f t="shared" si="63"/>
        <v>3.2153879839665107</v>
      </c>
      <c r="N95" s="77">
        <f t="shared" si="63"/>
        <v>6.3222870526361516</v>
      </c>
    </row>
    <row r="96" spans="1:14" x14ac:dyDescent="0.25">
      <c r="A96" s="75" t="s">
        <v>149</v>
      </c>
      <c r="B96" s="73" t="s">
        <v>117</v>
      </c>
      <c r="C96" s="77">
        <f t="shared" ref="C96:N96" si="64" xml:space="preserve"> 57255.69581*C80 - 44678.74747*C79 + 14023.41918*C78 - 2111.06396*C77 + 151.68701*C76 - 3.73</f>
        <v>0.46570837364019413</v>
      </c>
      <c r="D96" s="77">
        <f t="shared" si="64"/>
        <v>1.0299229126329768</v>
      </c>
      <c r="E96" s="77">
        <f t="shared" si="64"/>
        <v>1.1983002467022499</v>
      </c>
      <c r="F96" s="77">
        <f t="shared" si="64"/>
        <v>1.3985077968695454</v>
      </c>
      <c r="G96" s="77">
        <f t="shared" si="64"/>
        <v>1.6391080832179239</v>
      </c>
      <c r="H96" s="77">
        <f t="shared" si="64"/>
        <v>1.9321896196733346</v>
      </c>
      <c r="I96" s="77">
        <f t="shared" si="64"/>
        <v>2.294006487507215</v>
      </c>
      <c r="J96" s="77">
        <f t="shared" si="64"/>
        <v>2.745617908839773</v>
      </c>
      <c r="K96" s="77">
        <f t="shared" si="64"/>
        <v>3.3135278201425504</v>
      </c>
      <c r="L96" s="77">
        <f t="shared" si="64"/>
        <v>4.0303244457417584</v>
      </c>
      <c r="M96" s="77">
        <f t="shared" si="64"/>
        <v>4.9353198713205337</v>
      </c>
      <c r="N96" s="77">
        <f t="shared" si="64"/>
        <v>11.783905482145865</v>
      </c>
    </row>
    <row r="97" spans="1:14" x14ac:dyDescent="0.25">
      <c r="A97" s="75" t="s">
        <v>150</v>
      </c>
      <c r="B97" s="73" t="s">
        <v>118</v>
      </c>
      <c r="C97" s="77">
        <f t="shared" ref="C97:N97" si="65" xml:space="preserve"> 143089.62452*C80 - 117343.50532*C79 + 38649.35375*C78 - 6217.22547*C77 + 488.33352*C76 - 14.52</f>
        <v>0.56623739370087023</v>
      </c>
      <c r="D97" s="77">
        <f t="shared" si="65"/>
        <v>1.4418008397395248</v>
      </c>
      <c r="E97" s="77">
        <f t="shared" si="65"/>
        <v>1.7078371456877299</v>
      </c>
      <c r="F97" s="77">
        <f t="shared" si="65"/>
        <v>2.0249986945134388</v>
      </c>
      <c r="G97" s="77">
        <f t="shared" si="65"/>
        <v>2.4085341279500589</v>
      </c>
      <c r="H97" s="77">
        <f t="shared" si="65"/>
        <v>2.8812155267461854</v>
      </c>
      <c r="I97" s="77">
        <f t="shared" si="65"/>
        <v>3.4749367901988215</v>
      </c>
      <c r="J97" s="77">
        <f t="shared" si="65"/>
        <v>4.2323120156874516</v>
      </c>
      <c r="K97" s="77">
        <f t="shared" si="65"/>
        <v>5.2082738782085691</v>
      </c>
      <c r="L97" s="77">
        <f t="shared" si="65"/>
        <v>6.4716720099087688</v>
      </c>
      <c r="M97" s="77">
        <f t="shared" si="65"/>
        <v>8.1068713796197578</v>
      </c>
      <c r="N97" s="77">
        <f t="shared" si="65"/>
        <v>21.258135193944394</v>
      </c>
    </row>
    <row r="98" spans="1:14" x14ac:dyDescent="0.25">
      <c r="A98" s="75" t="s">
        <v>209</v>
      </c>
      <c r="B98" s="73" t="s">
        <v>214</v>
      </c>
      <c r="C98" s="77">
        <f xml:space="preserve"> 30265.1424899999*C80 - 26816.90085*C79 + 9821.16503*C78 - 1803.67859*C77 + 165.46921*C76 - 5.71</f>
        <v>0.33664770919116993</v>
      </c>
      <c r="D98" s="77">
        <f xml:space="preserve"> 30265.1424899999*D80 - 26816.90085*D79 + 9821.16503*D78 - 1803.67859*D77 + 165.46921*D76 - 5.71</f>
        <v>0.52925474185183052</v>
      </c>
      <c r="E98" s="77">
        <f t="shared" ref="E98:N98" si="66" xml:space="preserve"> 30265.1424899999*E80 - 26816.90085*E79 + 9821.16503*E78 - 1803.67859*E77 + 165.46921*E76 - 5.71</f>
        <v>0.58746902743175244</v>
      </c>
      <c r="F98" s="77">
        <f t="shared" si="66"/>
        <v>0.6603208948321333</v>
      </c>
      <c r="G98" s="77">
        <f t="shared" si="66"/>
        <v>0.75106238340823328</v>
      </c>
      <c r="H98" s="77">
        <f t="shared" si="66"/>
        <v>0.86408415895988444</v>
      </c>
      <c r="I98" s="77">
        <f t="shared" si="66"/>
        <v>1.0052535898464976</v>
      </c>
      <c r="J98" s="77">
        <f t="shared" si="66"/>
        <v>1.1822528231018632</v>
      </c>
      <c r="K98" s="77">
        <f t="shared" si="66"/>
        <v>1.4049168605493927</v>
      </c>
      <c r="L98" s="77">
        <f t="shared" si="66"/>
        <v>1.6855716349168484</v>
      </c>
      <c r="M98" s="77">
        <f t="shared" si="66"/>
        <v>2.039372085951336</v>
      </c>
      <c r="N98" s="77">
        <f t="shared" si="66"/>
        <v>4.7207755952452795</v>
      </c>
    </row>
    <row r="99" spans="1:14" x14ac:dyDescent="0.25">
      <c r="A99" s="75" t="s">
        <v>151</v>
      </c>
      <c r="B99" s="73" t="s">
        <v>119</v>
      </c>
      <c r="C99" s="77">
        <f t="shared" ref="C99:N99" si="67" xml:space="preserve"> 54477.25649*C80 - 47053.5012*C79 + 16421.96104*C78 - 2825.53995*C77 + 239.64014*C76 - 7.66</f>
        <v>0.38474465697996862</v>
      </c>
      <c r="D99" s="77">
        <f t="shared" si="67"/>
        <v>0.68231803329862473</v>
      </c>
      <c r="E99" s="77">
        <f t="shared" si="67"/>
        <v>0.77491807723169259</v>
      </c>
      <c r="F99" s="77">
        <f t="shared" si="67"/>
        <v>0.88591877081845993</v>
      </c>
      <c r="G99" s="77">
        <f t="shared" si="67"/>
        <v>1.0197029675710674</v>
      </c>
      <c r="H99" s="77">
        <f t="shared" si="67"/>
        <v>1.182978843232835</v>
      </c>
      <c r="I99" s="77">
        <f t="shared" si="67"/>
        <v>1.3853884327852803</v>
      </c>
      <c r="J99" s="77">
        <f t="shared" si="67"/>
        <v>1.6401161674550373</v>
      </c>
      <c r="K99" s="77">
        <f t="shared" si="67"/>
        <v>1.9644974117212222</v>
      </c>
      <c r="L99" s="77">
        <f t="shared" si="67"/>
        <v>2.3806270003220185</v>
      </c>
      <c r="M99" s="77">
        <f t="shared" si="67"/>
        <v>2.9159677752619153</v>
      </c>
      <c r="N99" s="77">
        <f t="shared" si="67"/>
        <v>7.2079923798344474</v>
      </c>
    </row>
    <row r="100" spans="1:14" x14ac:dyDescent="0.25">
      <c r="A100" s="75" t="s">
        <v>152</v>
      </c>
      <c r="B100" s="73" t="s">
        <v>120</v>
      </c>
      <c r="C100" s="77">
        <f t="shared" ref="C100:N100" si="68" xml:space="preserve"> 76208.6211*C80 - 64528.35091*C79 + 21766.90698*C78 - 3544.03862*C77 + 277.89526*C76 - 8.01</f>
        <v>0.43220584929792061</v>
      </c>
      <c r="D100" s="77">
        <f t="shared" si="68"/>
        <v>0.93585196071352605</v>
      </c>
      <c r="E100" s="77">
        <f t="shared" si="68"/>
        <v>1.0936884217317111</v>
      </c>
      <c r="F100" s="77">
        <f t="shared" si="68"/>
        <v>1.276443596615648</v>
      </c>
      <c r="G100" s="77">
        <f t="shared" si="68"/>
        <v>1.4894361180752593</v>
      </c>
      <c r="H100" s="77">
        <f t="shared" si="68"/>
        <v>1.7415310472840826</v>
      </c>
      <c r="I100" s="77">
        <f t="shared" si="68"/>
        <v>2.0459911606213605</v>
      </c>
      <c r="J100" s="77">
        <f t="shared" si="68"/>
        <v>2.421328236414146</v>
      </c>
      <c r="K100" s="77">
        <f t="shared" si="68"/>
        <v>2.8921543416790367</v>
      </c>
      <c r="L100" s="77">
        <f t="shared" si="68"/>
        <v>3.4900331188647069</v>
      </c>
      <c r="M100" s="77">
        <f t="shared" si="68"/>
        <v>4.2543310725936347</v>
      </c>
      <c r="N100" s="77">
        <f t="shared" si="68"/>
        <v>10.349835045970101</v>
      </c>
    </row>
    <row r="101" spans="1:14" x14ac:dyDescent="0.25">
      <c r="A101" s="75" t="s">
        <v>153</v>
      </c>
      <c r="B101" s="73" t="s">
        <v>121</v>
      </c>
      <c r="C101" s="77">
        <f t="shared" ref="C101:N101" si="69" xml:space="preserve"> 73827.1017*C80 - 60714.3115*C79 + 20349.36168*C78 - 3304.30929*C77 + 259.49856*C76 - 7.45</f>
        <v>0.51880531142144104</v>
      </c>
      <c r="D101" s="77">
        <f t="shared" si="69"/>
        <v>1.318414664898337</v>
      </c>
      <c r="E101" s="77">
        <f t="shared" si="69"/>
        <v>1.5693451623646082</v>
      </c>
      <c r="F101" s="77">
        <f t="shared" si="69"/>
        <v>1.8676082732699326</v>
      </c>
      <c r="G101" s="77">
        <f t="shared" si="69"/>
        <v>2.2226103808041655</v>
      </c>
      <c r="H101" s="77">
        <f t="shared" si="69"/>
        <v>2.6476008504758637</v>
      </c>
      <c r="I101" s="77">
        <f t="shared" si="69"/>
        <v>3.1604967141437497</v>
      </c>
      <c r="J101" s="77">
        <f t="shared" si="69"/>
        <v>3.7847073540479981</v>
      </c>
      <c r="K101" s="77">
        <f t="shared" si="69"/>
        <v>4.5499591868419058</v>
      </c>
      <c r="L101" s="77">
        <f t="shared" si="69"/>
        <v>5.4931203476233916</v>
      </c>
      <c r="M101" s="77">
        <f t="shared" si="69"/>
        <v>6.6590253739661618</v>
      </c>
      <c r="N101" s="77">
        <f t="shared" si="69"/>
        <v>15.123098854973495</v>
      </c>
    </row>
    <row r="102" spans="1:14" x14ac:dyDescent="0.25">
      <c r="A102" s="75" t="s">
        <v>215</v>
      </c>
      <c r="B102" s="73" t="s">
        <v>219</v>
      </c>
      <c r="C102" s="160">
        <f xml:space="preserve"> 40733.9049*C80 - 36751.17452*C79 + 13395.20097*C78 - 2415.4317*C77 + 215.01129*C76 - 7.26</f>
        <v>0.29891195010047689</v>
      </c>
      <c r="D102" s="160">
        <f t="shared" ref="D102:N102" si="70" xml:space="preserve"> 40733.9049*D80 - 36751.17452*D79 + 13395.20097*D78 - 2415.4317*D77 + 215.01129*D76 - 7.26</f>
        <v>0.46785745060019757</v>
      </c>
      <c r="E102" s="160">
        <f t="shared" si="70"/>
        <v>0.52297556380609755</v>
      </c>
      <c r="F102" s="160">
        <f t="shared" si="70"/>
        <v>0.58995001522538892</v>
      </c>
      <c r="G102" s="160">
        <f t="shared" si="70"/>
        <v>0.67106460950679114</v>
      </c>
      <c r="H102" s="160">
        <f t="shared" si="70"/>
        <v>0.7699864460460244</v>
      </c>
      <c r="I102" s="160">
        <f t="shared" si="70"/>
        <v>0.89222093618334775</v>
      </c>
      <c r="J102" s="160">
        <f t="shared" si="70"/>
        <v>1.0455668204006425</v>
      </c>
      <c r="K102" s="160">
        <f t="shared" si="70"/>
        <v>1.2405711855194763</v>
      </c>
      <c r="L102" s="160">
        <f t="shared" si="70"/>
        <v>1.4909844818978595</v>
      </c>
      <c r="M102" s="160">
        <f t="shared" si="70"/>
        <v>1.814215540628096</v>
      </c>
      <c r="N102" s="160">
        <f t="shared" si="70"/>
        <v>4.4536605762765102</v>
      </c>
    </row>
    <row r="103" spans="1:14" x14ac:dyDescent="0.25">
      <c r="A103" s="75" t="s">
        <v>216</v>
      </c>
      <c r="B103" s="73" t="s">
        <v>141</v>
      </c>
      <c r="C103" s="77">
        <f t="shared" ref="C103:N103" si="71" xml:space="preserve"> 58644.91546*C80 - 51277.08978*C79+ 18140.63323*C78 - 3175.6924*C77 + 274.28544*C76 - 9.02</f>
        <v>0.33775228503347066</v>
      </c>
      <c r="D103" s="77">
        <f t="shared" si="71"/>
        <v>0.57982553439259377</v>
      </c>
      <c r="E103" s="77">
        <f t="shared" si="71"/>
        <v>0.66261745932829896</v>
      </c>
      <c r="F103" s="77">
        <f t="shared" si="71"/>
        <v>0.76396733454280152</v>
      </c>
      <c r="G103" s="77">
        <f t="shared" si="71"/>
        <v>0.8883034430254817</v>
      </c>
      <c r="H103" s="77">
        <f t="shared" si="71"/>
        <v>1.0424158944459769</v>
      </c>
      <c r="I103" s="77">
        <f t="shared" si="71"/>
        <v>1.2361117169048121</v>
      </c>
      <c r="J103" s="77">
        <f t="shared" si="71"/>
        <v>1.4828699486840939</v>
      </c>
      <c r="K103" s="77">
        <f t="shared" si="71"/>
        <v>1.800496729998553</v>
      </c>
      <c r="L103" s="77">
        <f t="shared" si="71"/>
        <v>2.2117803947460821</v>
      </c>
      <c r="M103" s="77">
        <f t="shared" si="71"/>
        <v>2.7451465622584088</v>
      </c>
      <c r="N103" s="77">
        <f t="shared" si="71"/>
        <v>7.0931345839390723</v>
      </c>
    </row>
    <row r="104" spans="1:14" x14ac:dyDescent="0.25">
      <c r="A104" s="75" t="s">
        <v>217</v>
      </c>
      <c r="B104" s="73" t="s">
        <v>142</v>
      </c>
      <c r="C104" s="77">
        <f xml:space="preserve"> 29372.07272*C80 - 22669.98997*C79 + 6956.69784*C78 - 960.8162*C77 + 55.83313*C76 - 0.51</f>
        <v>0.40541822724710452</v>
      </c>
      <c r="D104" s="77">
        <f t="shared" ref="D104:N104" si="72" xml:space="preserve"> 29372.07272*D80 - 22669.98997*D79 + 6956.69784*D78 - 960.8162*D77 + 55.83313*D76 - 0.51</f>
        <v>0.86739098586357222</v>
      </c>
      <c r="E104" s="77">
        <f t="shared" si="72"/>
        <v>1.0134870417597239</v>
      </c>
      <c r="F104" s="77">
        <f t="shared" si="72"/>
        <v>1.1836422017395323</v>
      </c>
      <c r="G104" s="77">
        <f t="shared" si="72"/>
        <v>1.3820668238346501</v>
      </c>
      <c r="H104" s="77">
        <f t="shared" si="72"/>
        <v>1.6148367825970966</v>
      </c>
      <c r="I104" s="77">
        <f t="shared" si="72"/>
        <v>1.8902215691977202</v>
      </c>
      <c r="J104" s="77">
        <f t="shared" si="72"/>
        <v>2.2190123915247781</v>
      </c>
      <c r="K104" s="77">
        <f t="shared" si="72"/>
        <v>2.6148502742824782</v>
      </c>
      <c r="L104" s="77">
        <f t="shared" si="72"/>
        <v>3.0945541590896077</v>
      </c>
      <c r="M104" s="77">
        <f t="shared" si="72"/>
        <v>3.6784490045778568</v>
      </c>
      <c r="N104" s="77">
        <f t="shared" si="72"/>
        <v>7.7703451915223756</v>
      </c>
    </row>
    <row r="105" spans="1:14" x14ac:dyDescent="0.25">
      <c r="A105" s="75" t="s">
        <v>218</v>
      </c>
      <c r="B105" s="73" t="s">
        <v>143</v>
      </c>
      <c r="C105" s="77">
        <f xml:space="preserve"> 4564.57887*C80 - 4085.11767*C79 + 2049.36962*C78 - 391.39311*C77 + 30.6636*C76 - 0.38</f>
        <v>0.47137324824678373</v>
      </c>
      <c r="D105" s="77">
        <f t="shared" ref="D105:N105" si="73" xml:space="preserve"> 4564.57887*D80 - 4085.11767*D79 + 2049.36962*D78 - 391.39311*D77 + 30.6636*D76 - 0.38</f>
        <v>1.1950285701087973</v>
      </c>
      <c r="E105" s="77">
        <f t="shared" si="73"/>
        <v>1.4308532726442778</v>
      </c>
      <c r="F105" s="77">
        <f t="shared" si="73"/>
        <v>1.7102179606620762</v>
      </c>
      <c r="G105" s="77">
        <f t="shared" si="73"/>
        <v>2.0366867588887176</v>
      </c>
      <c r="H105" s="77">
        <f t="shared" si="73"/>
        <v>2.413986317673225</v>
      </c>
      <c r="I105" s="77">
        <f t="shared" si="73"/>
        <v>2.8460568015160108</v>
      </c>
      <c r="J105" s="77">
        <f t="shared" si="73"/>
        <v>3.337102877597653</v>
      </c>
      <c r="K105" s="77">
        <f t="shared" si="73"/>
        <v>3.8916447043077875</v>
      </c>
      <c r="L105" s="77">
        <f t="shared" si="73"/>
        <v>4.5145689197739616</v>
      </c>
      <c r="M105" s="77">
        <f t="shared" si="73"/>
        <v>5.2111796303904336</v>
      </c>
      <c r="N105" s="77">
        <f t="shared" si="73"/>
        <v>8.9880629149859868</v>
      </c>
    </row>
    <row r="106" spans="1:14" x14ac:dyDescent="0.25">
      <c r="A106" s="22"/>
      <c r="B106" s="59" t="s">
        <v>220</v>
      </c>
      <c r="C106" s="42">
        <f t="shared" ref="C106:N106" si="74">($C12-0.75)*($C12-0.8)/0.005</f>
        <v>-0.11847961521168322</v>
      </c>
      <c r="D106" s="42">
        <f t="shared" si="74"/>
        <v>-0.11847961521168322</v>
      </c>
      <c r="E106" s="42">
        <f t="shared" si="74"/>
        <v>-0.11847961521168322</v>
      </c>
      <c r="F106" s="42">
        <f t="shared" si="74"/>
        <v>-0.11847961521168322</v>
      </c>
      <c r="G106" s="42">
        <f t="shared" si="74"/>
        <v>-0.11847961521168322</v>
      </c>
      <c r="H106" s="42">
        <f t="shared" si="74"/>
        <v>-0.11847961521168322</v>
      </c>
      <c r="I106" s="42">
        <f t="shared" si="74"/>
        <v>-0.11847961521168322</v>
      </c>
      <c r="J106" s="42">
        <f t="shared" si="74"/>
        <v>-0.11847961521168322</v>
      </c>
      <c r="K106" s="42">
        <f t="shared" si="74"/>
        <v>-0.11847961521168322</v>
      </c>
      <c r="L106" s="42">
        <f t="shared" si="74"/>
        <v>-0.11847961521168322</v>
      </c>
      <c r="M106" s="42">
        <f t="shared" si="74"/>
        <v>-0.11847961521168322</v>
      </c>
      <c r="N106" s="42">
        <f t="shared" si="74"/>
        <v>-0.11847961521168322</v>
      </c>
    </row>
    <row r="107" spans="1:14" x14ac:dyDescent="0.25">
      <c r="A107" s="22"/>
      <c r="B107" s="59" t="s">
        <v>144</v>
      </c>
      <c r="C107" s="42">
        <f t="shared" ref="C107:N107" si="75">($C12-0.7)*($C12-0.8)/0.0025</f>
        <v>-0.62276304144740369</v>
      </c>
      <c r="D107" s="42">
        <f t="shared" si="75"/>
        <v>-0.62276304144740369</v>
      </c>
      <c r="E107" s="42">
        <f t="shared" si="75"/>
        <v>-0.62276304144740369</v>
      </c>
      <c r="F107" s="42">
        <f t="shared" si="75"/>
        <v>-0.62276304144740369</v>
      </c>
      <c r="G107" s="42">
        <f t="shared" si="75"/>
        <v>-0.62276304144740369</v>
      </c>
      <c r="H107" s="42">
        <f t="shared" si="75"/>
        <v>-0.62276304144740369</v>
      </c>
      <c r="I107" s="42">
        <f t="shared" si="75"/>
        <v>-0.62276304144740369</v>
      </c>
      <c r="J107" s="42">
        <f t="shared" si="75"/>
        <v>-0.62276304144740369</v>
      </c>
      <c r="K107" s="42">
        <f t="shared" si="75"/>
        <v>-0.62276304144740369</v>
      </c>
      <c r="L107" s="42">
        <f t="shared" si="75"/>
        <v>-0.62276304144740369</v>
      </c>
      <c r="M107" s="42">
        <f t="shared" si="75"/>
        <v>-0.62276304144740369</v>
      </c>
      <c r="N107" s="42">
        <f t="shared" si="75"/>
        <v>-0.62276304144740369</v>
      </c>
    </row>
    <row r="108" spans="1:14" x14ac:dyDescent="0.25">
      <c r="A108" s="22"/>
      <c r="B108" s="59" t="s">
        <v>145</v>
      </c>
      <c r="C108" s="42">
        <f t="shared" ref="C108:N108" si="76">($C12-0.7)*($C12-0.75)/0.005</f>
        <v>0.49571657376428124</v>
      </c>
      <c r="D108" s="42">
        <f t="shared" si="76"/>
        <v>0.49571657376428124</v>
      </c>
      <c r="E108" s="42">
        <f t="shared" si="76"/>
        <v>0.49571657376428124</v>
      </c>
      <c r="F108" s="42">
        <f t="shared" si="76"/>
        <v>0.49571657376428124</v>
      </c>
      <c r="G108" s="42">
        <f t="shared" si="76"/>
        <v>0.49571657376428124</v>
      </c>
      <c r="H108" s="42">
        <f t="shared" si="76"/>
        <v>0.49571657376428124</v>
      </c>
      <c r="I108" s="42">
        <f t="shared" si="76"/>
        <v>0.49571657376428124</v>
      </c>
      <c r="J108" s="42">
        <f t="shared" si="76"/>
        <v>0.49571657376428124</v>
      </c>
      <c r="K108" s="42">
        <f t="shared" si="76"/>
        <v>0.49571657376428124</v>
      </c>
      <c r="L108" s="42">
        <f t="shared" si="76"/>
        <v>0.49571657376428124</v>
      </c>
      <c r="M108" s="42">
        <f t="shared" si="76"/>
        <v>0.49571657376428124</v>
      </c>
      <c r="N108" s="42">
        <f t="shared" si="76"/>
        <v>0.49571657376428124</v>
      </c>
    </row>
    <row r="109" spans="1:14" x14ac:dyDescent="0.25">
      <c r="A109" s="22"/>
      <c r="B109" s="59" t="s">
        <v>146</v>
      </c>
      <c r="C109" s="42">
        <f t="shared" ref="C109:N109" si="77">($C12-0.8)*($C12-0.85)/0.005</f>
        <v>0.26732419581235362</v>
      </c>
      <c r="D109" s="42">
        <f t="shared" si="77"/>
        <v>0.26732419581235362</v>
      </c>
      <c r="E109" s="42">
        <f t="shared" si="77"/>
        <v>0.26732419581235362</v>
      </c>
      <c r="F109" s="42">
        <f t="shared" si="77"/>
        <v>0.26732419581235362</v>
      </c>
      <c r="G109" s="42">
        <f t="shared" si="77"/>
        <v>0.26732419581235362</v>
      </c>
      <c r="H109" s="42">
        <f t="shared" si="77"/>
        <v>0.26732419581235362</v>
      </c>
      <c r="I109" s="42">
        <f t="shared" si="77"/>
        <v>0.26732419581235362</v>
      </c>
      <c r="J109" s="42">
        <f t="shared" si="77"/>
        <v>0.26732419581235362</v>
      </c>
      <c r="K109" s="42">
        <f t="shared" si="77"/>
        <v>0.26732419581235362</v>
      </c>
      <c r="L109" s="42">
        <f t="shared" si="77"/>
        <v>0.26732419581235362</v>
      </c>
      <c r="M109" s="42">
        <f t="shared" si="77"/>
        <v>0.26732419581235362</v>
      </c>
      <c r="N109" s="42">
        <f t="shared" si="77"/>
        <v>0.26732419581235362</v>
      </c>
    </row>
    <row r="110" spans="1:14" x14ac:dyDescent="0.25">
      <c r="A110" s="22"/>
      <c r="B110" s="59" t="s">
        <v>147</v>
      </c>
      <c r="C110" s="42">
        <f t="shared" ref="C110:N110" si="78">($C12-0.75)*($C12-0.85)/0.0025</f>
        <v>-0.85115541939932959</v>
      </c>
      <c r="D110" s="42">
        <f t="shared" si="78"/>
        <v>-0.85115541939932959</v>
      </c>
      <c r="E110" s="42">
        <f t="shared" si="78"/>
        <v>-0.85115541939932959</v>
      </c>
      <c r="F110" s="42">
        <f t="shared" si="78"/>
        <v>-0.85115541939932959</v>
      </c>
      <c r="G110" s="42">
        <f t="shared" si="78"/>
        <v>-0.85115541939932959</v>
      </c>
      <c r="H110" s="42">
        <f t="shared" si="78"/>
        <v>-0.85115541939932959</v>
      </c>
      <c r="I110" s="42">
        <f t="shared" si="78"/>
        <v>-0.85115541939932959</v>
      </c>
      <c r="J110" s="42">
        <f t="shared" si="78"/>
        <v>-0.85115541939932959</v>
      </c>
      <c r="K110" s="42">
        <f t="shared" si="78"/>
        <v>-0.85115541939932959</v>
      </c>
      <c r="L110" s="42">
        <f t="shared" si="78"/>
        <v>-0.85115541939932959</v>
      </c>
      <c r="M110" s="42">
        <f t="shared" si="78"/>
        <v>-0.85115541939932959</v>
      </c>
      <c r="N110" s="42">
        <f t="shared" si="78"/>
        <v>-0.85115541939932959</v>
      </c>
    </row>
    <row r="111" spans="1:14" x14ac:dyDescent="0.25">
      <c r="A111" s="82" t="s">
        <v>127</v>
      </c>
      <c r="B111" s="83" t="s">
        <v>221</v>
      </c>
      <c r="C111" s="84">
        <f t="shared" ref="C111:N111" si="79">IF($C12&lt;0.775,C106*C82-C107*C83+C108*C84,C109*C83-C110*C84+C106*C85)</f>
        <v>0.69117428875036369</v>
      </c>
      <c r="D111" s="84">
        <f t="shared" si="79"/>
        <v>1.3118907522977303</v>
      </c>
      <c r="E111" s="84">
        <f t="shared" si="79"/>
        <v>1.4763948033047201</v>
      </c>
      <c r="F111" s="84">
        <f t="shared" si="79"/>
        <v>1.6844252756638889</v>
      </c>
      <c r="G111" s="84">
        <f t="shared" si="79"/>
        <v>1.9659135493730895</v>
      </c>
      <c r="H111" s="84">
        <f t="shared" si="79"/>
        <v>2.3653943767730454</v>
      </c>
      <c r="I111" s="84">
        <f t="shared" si="79"/>
        <v>2.9446811991637514</v>
      </c>
      <c r="J111" s="84">
        <f t="shared" si="79"/>
        <v>3.7855414634221991</v>
      </c>
      <c r="K111" s="84">
        <f t="shared" si="79"/>
        <v>4.9923719386194634</v>
      </c>
      <c r="L111" s="84">
        <f t="shared" si="79"/>
        <v>6.694874032638122</v>
      </c>
      <c r="M111" s="84">
        <f t="shared" si="79"/>
        <v>9.0507291087890618</v>
      </c>
      <c r="N111" s="84">
        <f t="shared" si="79"/>
        <v>30.251601381052637</v>
      </c>
    </row>
    <row r="112" spans="1:14" x14ac:dyDescent="0.25">
      <c r="A112" s="82" t="s">
        <v>128</v>
      </c>
      <c r="B112" s="83" t="s">
        <v>223</v>
      </c>
      <c r="C112" s="84">
        <f t="shared" ref="C112:N112" si="80">IF($C12&lt;0.775,C106*C86-C107*C87+C108*C88,C109*C87-C110*C88+C106*C89)</f>
        <v>0.6044605386203552</v>
      </c>
      <c r="D112" s="84">
        <f t="shared" si="80"/>
        <v>1.1639370613080959</v>
      </c>
      <c r="E112" s="84">
        <f t="shared" si="80"/>
        <v>1.3237009148807655</v>
      </c>
      <c r="F112" s="84">
        <f t="shared" si="80"/>
        <v>1.516346846682161</v>
      </c>
      <c r="G112" s="84">
        <f t="shared" si="80"/>
        <v>1.7591535536626068</v>
      </c>
      <c r="H112" s="84">
        <f t="shared" si="80"/>
        <v>2.0819600811151395</v>
      </c>
      <c r="I112" s="84">
        <f t="shared" si="80"/>
        <v>2.532072189648912</v>
      </c>
      <c r="J112" s="84">
        <f t="shared" si="80"/>
        <v>3.1799499629002925</v>
      </c>
      <c r="K112" s="84">
        <f t="shared" si="80"/>
        <v>4.1256766559727884</v>
      </c>
      <c r="L112" s="84">
        <f t="shared" si="80"/>
        <v>5.5062087846023102</v>
      </c>
      <c r="M112" s="84">
        <f t="shared" si="80"/>
        <v>7.5034074550584915</v>
      </c>
      <c r="N112" s="84">
        <f t="shared" si="80"/>
        <v>28.413099253800333</v>
      </c>
    </row>
    <row r="113" spans="1:14" x14ac:dyDescent="0.25">
      <c r="A113" s="82" t="s">
        <v>129</v>
      </c>
      <c r="B113" s="83" t="s">
        <v>222</v>
      </c>
      <c r="C113" s="84">
        <f t="shared" ref="C113:N113" si="81">IF($C12&lt;0.775,C106*C90-C107*C91+C108*C92,C109*C91-C110*C92+C106*C93)</f>
        <v>0.52047880789794132</v>
      </c>
      <c r="D113" s="84">
        <f t="shared" si="81"/>
        <v>1.0134317070294863</v>
      </c>
      <c r="E113" s="84">
        <f t="shared" si="81"/>
        <v>1.1570307233958559</v>
      </c>
      <c r="F113" s="84">
        <f t="shared" si="81"/>
        <v>1.3278568298384179</v>
      </c>
      <c r="G113" s="84">
        <f t="shared" si="81"/>
        <v>1.535728105963263</v>
      </c>
      <c r="H113" s="84">
        <f t="shared" si="81"/>
        <v>1.7973278935177661</v>
      </c>
      <c r="I113" s="84">
        <f t="shared" si="81"/>
        <v>2.1390678337888982</v>
      </c>
      <c r="J113" s="84">
        <f t="shared" si="81"/>
        <v>2.6004467118079386</v>
      </c>
      <c r="K113" s="84">
        <f t="shared" si="81"/>
        <v>3.2379051073598468</v>
      </c>
      <c r="L113" s="84">
        <f t="shared" si="81"/>
        <v>4.1291758527992348</v>
      </c>
      <c r="M113" s="84">
        <f t="shared" si="81"/>
        <v>5.3781302976702161</v>
      </c>
      <c r="N113" s="84">
        <f t="shared" si="81"/>
        <v>17.863567247851478</v>
      </c>
    </row>
    <row r="114" spans="1:14" x14ac:dyDescent="0.25">
      <c r="A114" s="82" t="s">
        <v>154</v>
      </c>
      <c r="B114" s="83" t="s">
        <v>225</v>
      </c>
      <c r="C114" s="84">
        <f t="shared" ref="C114:N114" si="82">IF($C12&lt;0.775,C106*C94-C107*C95+C108*C96,C109*C95-C110*C96+C106*C97)</f>
        <v>0.44798326461032739</v>
      </c>
      <c r="D114" s="84">
        <f t="shared" si="82"/>
        <v>0.91566159069561459</v>
      </c>
      <c r="E114" s="84">
        <f t="shared" si="82"/>
        <v>1.0553858720098617</v>
      </c>
      <c r="F114" s="84">
        <f t="shared" si="82"/>
        <v>1.2227270710324967</v>
      </c>
      <c r="G114" s="84">
        <f t="shared" si="82"/>
        <v>1.4248430101021854</v>
      </c>
      <c r="H114" s="84">
        <f t="shared" si="82"/>
        <v>1.6712042327035435</v>
      </c>
      <c r="I114" s="84">
        <f t="shared" si="82"/>
        <v>1.9739092983836251</v>
      </c>
      <c r="J114" s="84">
        <f t="shared" si="82"/>
        <v>2.3480000776688223</v>
      </c>
      <c r="K114" s="84">
        <f t="shared" si="82"/>
        <v>2.8117770469811125</v>
      </c>
      <c r="L114" s="84">
        <f t="shared" si="82"/>
        <v>3.387114583555161</v>
      </c>
      <c r="M114" s="84">
        <f t="shared" si="82"/>
        <v>4.09977626035427</v>
      </c>
      <c r="N114" s="84">
        <f t="shared" si="82"/>
        <v>9.2013796369622654</v>
      </c>
    </row>
    <row r="115" spans="1:14" x14ac:dyDescent="0.25">
      <c r="A115" s="82" t="s">
        <v>155</v>
      </c>
      <c r="B115" s="83" t="s">
        <v>226</v>
      </c>
      <c r="C115" s="84">
        <f t="shared" ref="C115:N115" si="83">IF($C12&lt;0.775,C106*C98-C107*C99+C108*C100,C109*C99-C110*C100+C106*C101)</f>
        <v>0.40925805327929521</v>
      </c>
      <c r="D115" s="84">
        <f t="shared" si="83"/>
        <v>0.82275032547003257</v>
      </c>
      <c r="E115" s="84">
        <f t="shared" si="83"/>
        <v>0.9521177681363876</v>
      </c>
      <c r="F115" s="84">
        <f t="shared" si="83"/>
        <v>1.1020058981979166</v>
      </c>
      <c r="G115" s="84">
        <f t="shared" si="83"/>
        <v>1.2769988768390927</v>
      </c>
      <c r="H115" s="84">
        <f t="shared" si="83"/>
        <v>1.4848657268797774</v>
      </c>
      <c r="I115" s="84">
        <f t="shared" si="83"/>
        <v>1.7373498785185169</v>
      </c>
      <c r="J115" s="84">
        <f t="shared" si="83"/>
        <v>2.0509587150758444</v>
      </c>
      <c r="K115" s="84">
        <f t="shared" si="83"/>
        <v>2.4477531187373462</v>
      </c>
      <c r="L115" s="84">
        <f t="shared" si="83"/>
        <v>2.956137016297212</v>
      </c>
      <c r="M115" s="84">
        <f t="shared" si="83"/>
        <v>3.6116469249013186</v>
      </c>
      <c r="N115" s="84">
        <f t="shared" si="83"/>
        <v>8.9444100224818701</v>
      </c>
    </row>
    <row r="116" spans="1:14" x14ac:dyDescent="0.25">
      <c r="A116" s="82" t="s">
        <v>224</v>
      </c>
      <c r="B116" s="83" t="s">
        <v>227</v>
      </c>
      <c r="C116" s="84">
        <f t="shared" ref="C116:N116" si="84">IF($C12&lt;0.775,C106*C102-C107*C103+C108*C104,C109*C103-C110*C104+C106*C105)</f>
        <v>0.37951515815163916</v>
      </c>
      <c r="D116" s="84">
        <f t="shared" si="84"/>
        <v>0.75169940789541689</v>
      </c>
      <c r="E116" s="84">
        <f t="shared" si="84"/>
        <v>0.87024172236367447</v>
      </c>
      <c r="F116" s="84">
        <f t="shared" si="84"/>
        <v>1.0090644620665667</v>
      </c>
      <c r="G116" s="84">
        <f t="shared" si="84"/>
        <v>1.1725128071231472</v>
      </c>
      <c r="H116" s="84">
        <f t="shared" si="84"/>
        <v>1.36713189959349</v>
      </c>
      <c r="I116" s="84">
        <f t="shared" si="84"/>
        <v>1.6021151884297402</v>
      </c>
      <c r="J116" s="84">
        <f t="shared" si="84"/>
        <v>1.8897527744272928</v>
      </c>
      <c r="K116" s="84">
        <f t="shared" si="84"/>
        <v>2.245879755176019</v>
      </c>
      <c r="L116" s="84">
        <f t="shared" si="84"/>
        <v>2.6903245700114375</v>
      </c>
      <c r="M116" s="84">
        <f t="shared" si="84"/>
        <v>3.2473573449656685</v>
      </c>
      <c r="N116" s="84">
        <f t="shared" si="84"/>
        <v>7.4450356831421587</v>
      </c>
    </row>
    <row r="117" spans="1:14" x14ac:dyDescent="0.25">
      <c r="A117" s="75" t="s">
        <v>131</v>
      </c>
      <c r="B117" s="73" t="s">
        <v>122</v>
      </c>
      <c r="C117" s="74">
        <f t="shared" ref="C117:N117" si="85">IF($C13&gt;5.25,IF($C13&lt;5.75,C112*($C13-5.5)*($C13-6)/0.5-C113*($C13-5)*($C13-6)/0.25+C114*($C13-5)*($C13-5.5)/0.5,IF($C13&lt;6.25,C113*($C13-6)*($C13-6.5)/0.5-C114*($C13-5.5)*($C13-6.5)/0.25+C115*($C13-5.5)*($C13-6)/0.5,C114*($C13-6.5)*($C13-7)/0.5-C115*($C13-6)*($C13-7)/0.25+C116*($C13-6)*($C13-6.5)/0.5)),C111*($C13-5)*($C13-5.5)/0.5-C112*($C13-4.5)*($C13-5.5)/0.25+C113*($C13-4.5)*($C13-5)/0.5)</f>
        <v>0.61270998221958206</v>
      </c>
      <c r="D117" s="74">
        <f t="shared" si="85"/>
        <v>1.1783269884125915</v>
      </c>
      <c r="E117" s="74">
        <f t="shared" si="85"/>
        <v>1.3390463880952377</v>
      </c>
      <c r="F117" s="74">
        <f t="shared" si="85"/>
        <v>1.5334576069482322</v>
      </c>
      <c r="G117" s="74">
        <f t="shared" si="85"/>
        <v>1.7798340657076743</v>
      </c>
      <c r="H117" s="74">
        <f t="shared" si="85"/>
        <v>2.1093659201694321</v>
      </c>
      <c r="I117" s="74">
        <f t="shared" si="85"/>
        <v>2.5710374646483145</v>
      </c>
      <c r="J117" s="74">
        <f t="shared" si="85"/>
        <v>3.2372568841965821</v>
      </c>
      <c r="K117" s="74">
        <f t="shared" si="85"/>
        <v>4.210238355572999</v>
      </c>
      <c r="L117" s="74">
        <f t="shared" si="85"/>
        <v>5.6291364969589255</v>
      </c>
      <c r="M117" s="74">
        <f t="shared" si="85"/>
        <v>7.6779331664321404</v>
      </c>
      <c r="N117" s="74">
        <f t="shared" si="85"/>
        <v>28.970303903917344</v>
      </c>
    </row>
    <row r="118" spans="1:14" x14ac:dyDescent="0.25">
      <c r="A118" s="22"/>
      <c r="B118" s="59" t="s">
        <v>123</v>
      </c>
      <c r="C118" s="42">
        <f t="shared" ref="C118:N118" si="86">C22</f>
        <v>0.12</v>
      </c>
      <c r="D118" s="42">
        <f t="shared" si="86"/>
        <v>0.19069812061401845</v>
      </c>
      <c r="E118" s="42">
        <f t="shared" si="86"/>
        <v>0.200555877516121</v>
      </c>
      <c r="F118" s="42">
        <f t="shared" si="86"/>
        <v>0.21041363441822353</v>
      </c>
      <c r="G118" s="42">
        <f t="shared" si="86"/>
        <v>0.22027139132032608</v>
      </c>
      <c r="H118" s="42">
        <f t="shared" si="86"/>
        <v>0.23012914822242861</v>
      </c>
      <c r="I118" s="42">
        <f t="shared" si="86"/>
        <v>0.23998690512453114</v>
      </c>
      <c r="J118" s="42">
        <f t="shared" si="86"/>
        <v>0.24984466202663369</v>
      </c>
      <c r="K118" s="42">
        <f t="shared" si="86"/>
        <v>0.25970241892873619</v>
      </c>
      <c r="L118" s="42">
        <f t="shared" si="86"/>
        <v>0.26956017583083874</v>
      </c>
      <c r="M118" s="42">
        <f t="shared" si="86"/>
        <v>0.27941793273294124</v>
      </c>
      <c r="N118" s="42">
        <f t="shared" si="86"/>
        <v>0.32</v>
      </c>
    </row>
    <row r="119" spans="1:14" x14ac:dyDescent="0.25">
      <c r="A119" s="22"/>
      <c r="B119" s="59" t="s">
        <v>165</v>
      </c>
      <c r="C119" s="42">
        <f t="shared" ref="C119:N119" si="87">C55+C57+C59+C63</f>
        <v>0.6790311166352081</v>
      </c>
      <c r="D119" s="42">
        <f t="shared" si="87"/>
        <v>1.2221192546363198</v>
      </c>
      <c r="E119" s="42">
        <f t="shared" si="87"/>
        <v>1.3847224516134147</v>
      </c>
      <c r="F119" s="42">
        <f t="shared" si="87"/>
        <v>1.5885409725801958</v>
      </c>
      <c r="G119" s="42">
        <f t="shared" si="87"/>
        <v>1.8470851474811041</v>
      </c>
      <c r="H119" s="42">
        <f t="shared" si="87"/>
        <v>2.1800794592140011</v>
      </c>
      <c r="I119" s="42">
        <f t="shared" si="87"/>
        <v>2.6170151057364852</v>
      </c>
      <c r="J119" s="42">
        <f t="shared" si="87"/>
        <v>3.2026396711367138</v>
      </c>
      <c r="K119" s="42">
        <f t="shared" si="87"/>
        <v>4.0044603973583008</v>
      </c>
      <c r="L119" s="42">
        <f t="shared" si="87"/>
        <v>5.1191559063763759</v>
      </c>
      <c r="M119" s="42">
        <f t="shared" si="87"/>
        <v>6.663033680071532</v>
      </c>
      <c r="N119" s="42">
        <f t="shared" si="87"/>
        <v>13.740236241488606</v>
      </c>
    </row>
    <row r="120" spans="1:14" x14ac:dyDescent="0.25">
      <c r="A120" s="22"/>
      <c r="B120" s="59" t="s">
        <v>166</v>
      </c>
      <c r="C120" s="42">
        <f t="shared" ref="C120:N120" si="88">C119-C117</f>
        <v>6.6321134415626037E-2</v>
      </c>
      <c r="D120" s="42">
        <f t="shared" si="88"/>
        <v>4.3792266223728227E-2</v>
      </c>
      <c r="E120" s="42">
        <f t="shared" si="88"/>
        <v>4.567606351817699E-2</v>
      </c>
      <c r="F120" s="42">
        <f t="shared" si="88"/>
        <v>5.5083365631963588E-2</v>
      </c>
      <c r="G120" s="42">
        <f t="shared" si="88"/>
        <v>6.7251081773429755E-2</v>
      </c>
      <c r="H120" s="42">
        <f t="shared" si="88"/>
        <v>7.0713539044569007E-2</v>
      </c>
      <c r="I120" s="42">
        <f t="shared" si="88"/>
        <v>4.5977641088170706E-2</v>
      </c>
      <c r="J120" s="42">
        <f t="shared" si="88"/>
        <v>-3.4617213059868313E-2</v>
      </c>
      <c r="K120" s="42">
        <f t="shared" si="88"/>
        <v>-0.20577795821469813</v>
      </c>
      <c r="L120" s="42">
        <f t="shared" si="88"/>
        <v>-0.50998059058254963</v>
      </c>
      <c r="M120" s="42">
        <f t="shared" si="88"/>
        <v>-1.0148994863606084</v>
      </c>
      <c r="N120" s="42">
        <f t="shared" si="88"/>
        <v>-15.230067662428738</v>
      </c>
    </row>
  </sheetData>
  <sheetProtection password="CC7C" sheet="1" objects="1" scenarios="1"/>
  <phoneticPr fontId="2" type="noConversion"/>
  <dataValidations count="1">
    <dataValidation type="whole" allowBlank="1" showInputMessage="1" showErrorMessage="1" error="Value to be either 1 or 2" sqref="K14">
      <formula1>1</formula1>
      <formula2>3</formula2>
    </dataValidation>
  </dataValidations>
  <pageMargins left="0.75" right="0.75" top="1" bottom="1" header="0" footer="0"/>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R117"/>
  <sheetViews>
    <sheetView topLeftCell="A10" workbookViewId="0">
      <selection activeCell="Q15" sqref="Q15"/>
    </sheetView>
  </sheetViews>
  <sheetFormatPr defaultRowHeight="13.2" x14ac:dyDescent="0.25"/>
  <cols>
    <col min="1" max="1" width="27.44140625" customWidth="1"/>
    <col min="2" max="14" width="7.77734375" customWidth="1"/>
    <col min="16" max="16" width="9" bestFit="1" customWidth="1"/>
    <col min="17" max="17" width="9.77734375" bestFit="1" customWidth="1"/>
    <col min="18" max="18" width="9" bestFit="1" customWidth="1"/>
  </cols>
  <sheetData>
    <row r="1" spans="1:14" ht="21.6" thickBot="1" x14ac:dyDescent="0.45">
      <c r="A1" s="4" t="s">
        <v>370</v>
      </c>
      <c r="B1" s="5"/>
      <c r="C1" s="5"/>
      <c r="D1" s="5"/>
      <c r="E1" s="6"/>
      <c r="F1" s="5"/>
      <c r="G1" s="7"/>
      <c r="H1" s="80"/>
      <c r="I1" s="9"/>
      <c r="J1" s="8"/>
      <c r="L1" s="8"/>
      <c r="M1" s="8"/>
      <c r="N1" s="230"/>
    </row>
    <row r="2" spans="1:14" ht="13.8" thickTop="1" x14ac:dyDescent="0.25">
      <c r="A2" s="10" t="s">
        <v>8</v>
      </c>
      <c r="B2" s="11"/>
      <c r="C2" s="11"/>
      <c r="D2" s="60"/>
      <c r="E2" s="98"/>
      <c r="F2" s="98"/>
      <c r="G2" s="11"/>
      <c r="H2" s="11"/>
      <c r="I2" s="12"/>
      <c r="J2" s="13" t="s">
        <v>9</v>
      </c>
      <c r="K2" s="14"/>
      <c r="L2" s="11"/>
      <c r="M2" s="11"/>
      <c r="N2" s="202"/>
    </row>
    <row r="3" spans="1:14" x14ac:dyDescent="0.25">
      <c r="A3" s="15" t="s">
        <v>10</v>
      </c>
      <c r="B3" s="16" t="s">
        <v>11</v>
      </c>
      <c r="C3" s="17">
        <v>1.0249999999999999</v>
      </c>
      <c r="D3" s="101"/>
      <c r="E3" s="79"/>
      <c r="F3" s="102"/>
      <c r="G3" s="18" t="s">
        <v>12</v>
      </c>
      <c r="H3" s="18"/>
      <c r="I3" s="18"/>
      <c r="J3" s="70">
        <v>1</v>
      </c>
      <c r="K3" s="23">
        <f>IF(J3=1,IF(C17=1,0.7*C70-0.45+0.08*C13,IF(C16=1,C71,G70)),J3)</f>
        <v>0.25574944614123091</v>
      </c>
      <c r="L3" s="113"/>
      <c r="M3" s="112"/>
      <c r="N3" s="204"/>
    </row>
    <row r="4" spans="1:14" x14ac:dyDescent="0.25">
      <c r="A4" s="15" t="s">
        <v>13</v>
      </c>
      <c r="B4" s="16" t="s">
        <v>14</v>
      </c>
      <c r="C4" s="20">
        <f>'Ship data'!E6</f>
        <v>69.39316773984396</v>
      </c>
      <c r="D4" s="103"/>
      <c r="E4" s="79"/>
      <c r="F4" s="102"/>
      <c r="G4" s="18" t="s">
        <v>15</v>
      </c>
      <c r="H4" s="18"/>
      <c r="I4" s="18"/>
      <c r="J4" s="71">
        <v>1</v>
      </c>
      <c r="K4" s="19">
        <f>IF(J4=1,IF(C17=1,E70-0.26+0.04*C13,IF(C16=1,E71,G71)),J4)</f>
        <v>0.22553741549667311</v>
      </c>
      <c r="L4" s="112"/>
      <c r="M4" s="112"/>
      <c r="N4" s="204"/>
    </row>
    <row r="5" spans="1:14" x14ac:dyDescent="0.25">
      <c r="A5" s="15" t="s">
        <v>16</v>
      </c>
      <c r="B5" s="16" t="s">
        <v>14</v>
      </c>
      <c r="C5" s="20">
        <f>'Ship data'!E7</f>
        <v>12.098035159762397</v>
      </c>
      <c r="D5" s="103"/>
      <c r="E5" s="79"/>
      <c r="F5" s="102"/>
      <c r="G5" s="18" t="s">
        <v>17</v>
      </c>
      <c r="H5" s="18"/>
      <c r="I5" s="18"/>
      <c r="J5" s="22"/>
      <c r="K5" s="19">
        <f>(1-K4)/(1-K3)</f>
        <v>1.0405938974286484</v>
      </c>
      <c r="L5" s="112"/>
      <c r="M5" s="112"/>
      <c r="N5" s="204"/>
    </row>
    <row r="6" spans="1:14" x14ac:dyDescent="0.25">
      <c r="A6" s="15" t="s">
        <v>18</v>
      </c>
      <c r="B6" s="16" t="s">
        <v>14</v>
      </c>
      <c r="C6" s="20">
        <f>'Ship data'!E12</f>
        <v>4.4898974114147832</v>
      </c>
      <c r="D6" s="104"/>
      <c r="E6" s="105"/>
      <c r="F6" s="102"/>
      <c r="G6" s="18" t="s">
        <v>19</v>
      </c>
      <c r="H6" s="18"/>
      <c r="I6" s="18"/>
      <c r="K6" s="19">
        <f>'Ship data'!E49/100</f>
        <v>0.98</v>
      </c>
      <c r="L6" s="112"/>
      <c r="M6" s="112"/>
      <c r="N6" s="204"/>
    </row>
    <row r="7" spans="1:14" x14ac:dyDescent="0.25">
      <c r="A7" s="15" t="s">
        <v>20</v>
      </c>
      <c r="B7" s="16" t="s">
        <v>21</v>
      </c>
      <c r="C7" s="24">
        <f>'Ship data'!E21</f>
        <v>3020.9727921305375</v>
      </c>
      <c r="D7" s="103"/>
      <c r="E7" s="79"/>
      <c r="F7" s="102"/>
      <c r="G7" s="18" t="s">
        <v>22</v>
      </c>
      <c r="H7" s="18"/>
      <c r="I7" s="18"/>
      <c r="K7" s="25">
        <v>1</v>
      </c>
      <c r="L7" s="112"/>
      <c r="M7" s="112"/>
      <c r="N7" s="204"/>
    </row>
    <row r="8" spans="1:14" x14ac:dyDescent="0.25">
      <c r="A8" s="15" t="s">
        <v>23</v>
      </c>
      <c r="B8" s="16" t="s">
        <v>24</v>
      </c>
      <c r="C8" s="24">
        <f>'Ship data'!E34</f>
        <v>1235.9226634083334</v>
      </c>
      <c r="D8" s="103"/>
      <c r="E8" s="79"/>
      <c r="F8" s="102"/>
      <c r="G8" s="27" t="s">
        <v>25</v>
      </c>
      <c r="H8" s="28"/>
      <c r="I8" s="28"/>
      <c r="J8" s="28"/>
      <c r="K8" s="95"/>
      <c r="L8" s="96"/>
      <c r="M8" s="217" t="s">
        <v>167</v>
      </c>
      <c r="N8" s="235">
        <f>'Ship data'!E35</f>
        <v>13.172490532473214</v>
      </c>
    </row>
    <row r="9" spans="1:14" x14ac:dyDescent="0.25">
      <c r="A9" s="15" t="s">
        <v>26</v>
      </c>
      <c r="B9" s="16" t="s">
        <v>24</v>
      </c>
      <c r="C9" s="24">
        <f>IF(C8=0,(1.08+(C16-1)*0.05-0.009*C5/C6)*(C7/C3/C6+1.65*C4*C6),C8)</f>
        <v>1235.9226634083334</v>
      </c>
      <c r="D9" s="104"/>
      <c r="E9" s="79"/>
      <c r="F9" s="102"/>
      <c r="G9" s="30" t="s">
        <v>27</v>
      </c>
      <c r="H9" s="30"/>
      <c r="I9" s="30"/>
      <c r="J9" s="31">
        <v>0.32</v>
      </c>
      <c r="K9" s="32" t="str">
        <f>IF(J9&gt;0.32,"Too high"," ")</f>
        <v xml:space="preserve"> </v>
      </c>
      <c r="L9" s="112"/>
      <c r="M9" s="112"/>
      <c r="N9" s="204"/>
    </row>
    <row r="10" spans="1:14" x14ac:dyDescent="0.25">
      <c r="A10" s="15" t="s">
        <v>4</v>
      </c>
      <c r="B10" s="16" t="s">
        <v>28</v>
      </c>
      <c r="C10" s="17">
        <f>'Ship data'!D29</f>
        <v>0.995</v>
      </c>
      <c r="D10" s="103"/>
      <c r="E10" s="79"/>
      <c r="F10" s="102"/>
      <c r="G10" s="33" t="s">
        <v>29</v>
      </c>
      <c r="H10" s="33"/>
      <c r="I10" s="33"/>
      <c r="J10" s="21">
        <v>1</v>
      </c>
      <c r="K10" s="34" t="str">
        <f>IF(J10&lt;0.9,"Too low"," ")</f>
        <v xml:space="preserve"> </v>
      </c>
      <c r="L10" s="112"/>
      <c r="M10" s="112"/>
      <c r="N10" s="204"/>
    </row>
    <row r="11" spans="1:14" x14ac:dyDescent="0.25">
      <c r="A11" s="15" t="s">
        <v>30</v>
      </c>
      <c r="B11" s="16" t="s">
        <v>28</v>
      </c>
      <c r="C11" s="17">
        <f>C7/C3/C4/C5/C6</f>
        <v>0.78190677289816124</v>
      </c>
      <c r="D11" s="103"/>
      <c r="E11" s="79"/>
      <c r="F11" s="102"/>
      <c r="G11" s="63" t="s">
        <v>124</v>
      </c>
      <c r="H11" s="63"/>
      <c r="I11" s="63"/>
      <c r="J11" s="64"/>
      <c r="K11" s="114">
        <v>0</v>
      </c>
      <c r="L11" s="112"/>
      <c r="M11" s="112"/>
      <c r="N11" s="204"/>
    </row>
    <row r="12" spans="1:14" x14ac:dyDescent="0.25">
      <c r="A12" s="15" t="s">
        <v>31</v>
      </c>
      <c r="B12" s="16" t="s">
        <v>28</v>
      </c>
      <c r="C12" s="17">
        <f>C11/C10</f>
        <v>0.78583595266146855</v>
      </c>
      <c r="D12" s="106"/>
      <c r="E12" s="78"/>
      <c r="F12" s="102"/>
      <c r="G12" s="66" t="s">
        <v>125</v>
      </c>
      <c r="H12" s="65"/>
      <c r="I12" s="66"/>
      <c r="J12" s="62"/>
      <c r="K12" s="61">
        <v>15</v>
      </c>
      <c r="L12" s="112"/>
      <c r="M12" s="112"/>
      <c r="N12" s="204"/>
    </row>
    <row r="13" spans="1:14" x14ac:dyDescent="0.25">
      <c r="A13" s="15" t="s">
        <v>32</v>
      </c>
      <c r="B13" s="16" t="s">
        <v>28</v>
      </c>
      <c r="C13" s="20">
        <f>C4/(C7/C3)^(1/3)</f>
        <v>4.8399669600885336</v>
      </c>
      <c r="D13" s="106" t="str">
        <f>IF(OR(C13&lt;4,C13&gt;9)," Warning: Length-displ. ratio out of range !","")</f>
        <v/>
      </c>
      <c r="E13" s="78"/>
      <c r="F13" s="102"/>
      <c r="G13" s="66" t="s">
        <v>126</v>
      </c>
      <c r="H13" s="66"/>
      <c r="I13" s="66"/>
      <c r="J13" s="62"/>
      <c r="K13" s="61">
        <v>1</v>
      </c>
      <c r="L13" s="112"/>
      <c r="M13" s="112"/>
      <c r="N13" s="204"/>
    </row>
    <row r="14" spans="1:14" x14ac:dyDescent="0.25">
      <c r="A14" s="15" t="s">
        <v>33</v>
      </c>
      <c r="B14" s="16" t="s">
        <v>28</v>
      </c>
      <c r="C14" s="36">
        <v>0</v>
      </c>
      <c r="D14" s="106"/>
      <c r="E14" s="78"/>
      <c r="F14" s="102"/>
      <c r="G14" s="66" t="s">
        <v>130</v>
      </c>
      <c r="H14" s="66"/>
      <c r="I14" s="66"/>
      <c r="J14" s="62"/>
      <c r="K14" s="114">
        <f>'Ship data'!E68</f>
        <v>1</v>
      </c>
      <c r="L14" s="111"/>
      <c r="M14" s="111"/>
      <c r="N14" s="206"/>
    </row>
    <row r="15" spans="1:14" x14ac:dyDescent="0.25">
      <c r="A15" s="15" t="s">
        <v>34</v>
      </c>
      <c r="B15" s="16" t="s">
        <v>28</v>
      </c>
      <c r="C15" s="36">
        <v>0</v>
      </c>
      <c r="D15" s="107"/>
      <c r="E15" s="108"/>
      <c r="F15" s="79"/>
      <c r="G15" s="406" t="s">
        <v>397</v>
      </c>
      <c r="H15" s="407"/>
      <c r="I15" s="407"/>
      <c r="J15" s="407"/>
      <c r="K15" s="408">
        <f>'Ship data'!E50</f>
        <v>0</v>
      </c>
      <c r="L15" s="111"/>
      <c r="M15" s="111"/>
      <c r="N15" s="206"/>
    </row>
    <row r="16" spans="1:14" x14ac:dyDescent="0.25">
      <c r="A16" s="15" t="s">
        <v>35</v>
      </c>
      <c r="B16" s="16" t="s">
        <v>28</v>
      </c>
      <c r="C16" s="26">
        <v>1</v>
      </c>
      <c r="D16" s="109" t="str">
        <f>IF(OR(C4/C5&lt;3.5,C4/C5&gt;10)," Warning: L/B out of range !","")</f>
        <v/>
      </c>
      <c r="E16" s="110"/>
      <c r="F16" s="110"/>
      <c r="G16" s="110"/>
      <c r="H16" s="110"/>
      <c r="I16" s="133"/>
      <c r="J16" s="134"/>
      <c r="K16" s="110"/>
      <c r="L16" s="111"/>
      <c r="M16" s="111"/>
      <c r="N16" s="206"/>
    </row>
    <row r="17" spans="1:18" x14ac:dyDescent="0.25">
      <c r="A17" s="15" t="s">
        <v>36</v>
      </c>
      <c r="B17" s="16" t="s">
        <v>28</v>
      </c>
      <c r="C17" s="26">
        <v>1</v>
      </c>
      <c r="D17" s="109" t="str">
        <f>IF(C5/C6&gt;6.5,"  Warning: B/T out of range !","")</f>
        <v/>
      </c>
      <c r="E17" s="110"/>
      <c r="F17" s="110"/>
      <c r="G17" s="78"/>
      <c r="H17" s="111"/>
      <c r="I17" s="111"/>
      <c r="J17" s="78"/>
      <c r="K17" s="111"/>
      <c r="L17" s="111"/>
      <c r="M17" s="111"/>
      <c r="N17" s="206"/>
    </row>
    <row r="18" spans="1:18" x14ac:dyDescent="0.25">
      <c r="A18" s="15" t="s">
        <v>37</v>
      </c>
      <c r="B18" s="16" t="s">
        <v>14</v>
      </c>
      <c r="C18" s="20">
        <f>'Ship data'!E70</f>
        <v>3.0735094775088392</v>
      </c>
      <c r="D18" s="99">
        <f>C18/C6</f>
        <v>0.68453890944033069</v>
      </c>
      <c r="E18" s="100" t="s">
        <v>163</v>
      </c>
      <c r="F18" s="215"/>
      <c r="G18" s="78"/>
      <c r="H18" s="111"/>
      <c r="I18" s="111"/>
      <c r="J18" s="78"/>
      <c r="K18" s="111"/>
      <c r="L18" s="111"/>
      <c r="M18" s="111"/>
      <c r="N18" s="206"/>
    </row>
    <row r="19" spans="1:18" ht="13.8" thickBot="1" x14ac:dyDescent="0.3">
      <c r="A19" s="18" t="s">
        <v>38</v>
      </c>
      <c r="B19" s="37" t="s">
        <v>28</v>
      </c>
      <c r="C19" s="24">
        <v>4</v>
      </c>
      <c r="D19" s="111"/>
      <c r="E19" s="108"/>
      <c r="F19" s="108"/>
      <c r="G19" s="78"/>
      <c r="H19" s="111"/>
      <c r="I19" s="111"/>
      <c r="J19" s="78"/>
      <c r="K19" s="111"/>
      <c r="L19" s="111"/>
      <c r="M19" s="111"/>
      <c r="N19" s="206"/>
    </row>
    <row r="20" spans="1:18" ht="14.4" thickTop="1" thickBot="1" x14ac:dyDescent="0.3">
      <c r="A20" s="10" t="s">
        <v>39</v>
      </c>
      <c r="B20" s="38"/>
      <c r="C20" s="11"/>
      <c r="D20" s="11"/>
      <c r="E20" s="11"/>
      <c r="F20" s="11"/>
      <c r="G20" s="11"/>
      <c r="H20" s="11"/>
      <c r="I20" s="11"/>
      <c r="J20" s="11"/>
      <c r="K20" s="11"/>
      <c r="L20" s="11"/>
      <c r="M20" s="11"/>
      <c r="N20" s="231"/>
    </row>
    <row r="21" spans="1:18" ht="13.8" thickBot="1" x14ac:dyDescent="0.3">
      <c r="A21" s="39" t="s">
        <v>40</v>
      </c>
      <c r="B21" s="40" t="s">
        <v>41</v>
      </c>
      <c r="C21" s="85">
        <f>(C22*(9.81*C4)^0.5)/0.5144</f>
        <v>6.0865773619557171</v>
      </c>
      <c r="D21" s="41">
        <f>E21-0.5</f>
        <v>10.172490532473214</v>
      </c>
      <c r="E21" s="41">
        <f>F21-0.5</f>
        <v>10.672490532473214</v>
      </c>
      <c r="F21" s="41">
        <f>G21-0.5</f>
        <v>11.172490532473214</v>
      </c>
      <c r="G21" s="41">
        <f>H21-0.5</f>
        <v>11.672490532473214</v>
      </c>
      <c r="H21" s="86">
        <f>I21-MAX(1,'Ship data'!E45/10)</f>
        <v>12.172490532473214</v>
      </c>
      <c r="I21" s="86">
        <f>J21-MAX(1,'Ship data'!E45/10)</f>
        <v>13.172490532473214</v>
      </c>
      <c r="J21" s="86">
        <f>N8+MAX(1,'Ship data'!E45/5)</f>
        <v>14.172490532473214</v>
      </c>
      <c r="K21" s="156">
        <f>L21-0.05</f>
        <v>12.918085356001084</v>
      </c>
      <c r="L21" s="156">
        <f>R22</f>
        <v>12.968085356001085</v>
      </c>
      <c r="M21" s="156">
        <f>L21+0.05</f>
        <v>13.018085356001086</v>
      </c>
      <c r="N21" s="251">
        <f>N22*SQRT(9.81*C4)/0.5144</f>
        <v>16.230872965215244</v>
      </c>
    </row>
    <row r="22" spans="1:18" ht="13.8" thickBot="1" x14ac:dyDescent="0.3">
      <c r="A22" s="15" t="s">
        <v>42</v>
      </c>
      <c r="B22" s="16" t="s">
        <v>28</v>
      </c>
      <c r="C22" s="87">
        <v>0.12</v>
      </c>
      <c r="D22" s="42">
        <f t="shared" ref="D22:M22" si="0">D21*0.5144/SQRT(9.81*$C4)</f>
        <v>0.200555877516121</v>
      </c>
      <c r="E22" s="42">
        <f t="shared" si="0"/>
        <v>0.21041363441822353</v>
      </c>
      <c r="F22" s="42">
        <f t="shared" si="0"/>
        <v>0.22027139132032608</v>
      </c>
      <c r="G22" s="42">
        <f t="shared" si="0"/>
        <v>0.23012914822242861</v>
      </c>
      <c r="H22" s="88">
        <f t="shared" si="0"/>
        <v>0.23998690512453114</v>
      </c>
      <c r="I22" s="88">
        <f t="shared" si="0"/>
        <v>0.25970241892873619</v>
      </c>
      <c r="J22" s="88">
        <f t="shared" si="0"/>
        <v>0.27941793273294124</v>
      </c>
      <c r="K22" s="118">
        <f t="shared" si="0"/>
        <v>0.25468669016013873</v>
      </c>
      <c r="L22" s="118">
        <f t="shared" si="0"/>
        <v>0.25567246585034897</v>
      </c>
      <c r="M22" s="118">
        <f t="shared" si="0"/>
        <v>0.25665824154055922</v>
      </c>
      <c r="N22" s="237">
        <f>J9</f>
        <v>0.32</v>
      </c>
      <c r="P22" s="124" t="s">
        <v>164</v>
      </c>
      <c r="Q22" s="125">
        <f>'Ship data'!E62*0.75</f>
        <v>2094.172884278496</v>
      </c>
      <c r="R22" s="126">
        <f>R23*R24*Q25-R23*R25*Q24+R24*R25*Q23</f>
        <v>12.968085356001085</v>
      </c>
    </row>
    <row r="23" spans="1:18" x14ac:dyDescent="0.25">
      <c r="A23" s="15" t="s">
        <v>43</v>
      </c>
      <c r="B23" s="16" t="s">
        <v>28</v>
      </c>
      <c r="C23" s="88">
        <f t="shared" ref="C23:N23" si="1">75/(LOG10(C21*0.5144*$C4*1000000/((43.4233-31.38*$C3)*($K12+20)^(1.72*$C3-2.202)+4.7478-5.779*$C3))-2)^2</f>
        <v>1.9126129181791665</v>
      </c>
      <c r="D23" s="42">
        <f t="shared" si="1"/>
        <v>1.7833076597966899</v>
      </c>
      <c r="E23" s="42">
        <f t="shared" si="1"/>
        <v>1.771902127866017</v>
      </c>
      <c r="F23" s="42">
        <f t="shared" si="1"/>
        <v>1.7611206080054687</v>
      </c>
      <c r="G23" s="42">
        <f t="shared" si="1"/>
        <v>1.7509029567807526</v>
      </c>
      <c r="H23" s="88">
        <f t="shared" si="1"/>
        <v>1.7411971132131978</v>
      </c>
      <c r="I23" s="88">
        <f t="shared" si="1"/>
        <v>1.7231450841053335</v>
      </c>
      <c r="J23" s="88">
        <f t="shared" si="1"/>
        <v>1.7066640889162894</v>
      </c>
      <c r="K23" s="118">
        <f t="shared" si="1"/>
        <v>1.7275779994363714</v>
      </c>
      <c r="L23" s="118">
        <f t="shared" si="1"/>
        <v>1.726698557742989</v>
      </c>
      <c r="M23" s="118">
        <f t="shared" si="1"/>
        <v>1.7258231678192673</v>
      </c>
      <c r="N23" s="238">
        <f t="shared" si="1"/>
        <v>1.6767381901925182</v>
      </c>
      <c r="P23" s="127">
        <f>H35-I35</f>
        <v>-1118.2879947487806</v>
      </c>
      <c r="Q23" s="128">
        <f>H21/P23/P24</f>
        <v>2.6744172985289128E-6</v>
      </c>
      <c r="R23" s="129">
        <f>Q22-H35</f>
        <v>855.38370176065087</v>
      </c>
    </row>
    <row r="24" spans="1:18" x14ac:dyDescent="0.25">
      <c r="A24" s="15" t="s">
        <v>44</v>
      </c>
      <c r="B24" s="16" t="s">
        <v>28</v>
      </c>
      <c r="C24" s="88">
        <f t="shared" ref="C24:M24" si="2">IF(C22&gt;0.12,C45,$C45+(C22-0.12)*2.5)</f>
        <v>0.67351412501459762</v>
      </c>
      <c r="D24" s="135">
        <f t="shared" si="2"/>
        <v>1.4417269081799344</v>
      </c>
      <c r="E24" s="135">
        <f t="shared" si="2"/>
        <v>1.6488381115764674</v>
      </c>
      <c r="F24" s="135">
        <f t="shared" si="2"/>
        <v>1.9178442106222422</v>
      </c>
      <c r="G24" s="135">
        <f t="shared" si="2"/>
        <v>2.2849600284533125</v>
      </c>
      <c r="H24" s="88">
        <f t="shared" si="2"/>
        <v>2.8040763192299236</v>
      </c>
      <c r="I24" s="88">
        <f t="shared" si="2"/>
        <v>4.6314101957255298</v>
      </c>
      <c r="J24" s="88">
        <f t="shared" si="2"/>
        <v>8.3795051041994117</v>
      </c>
      <c r="K24" s="136">
        <f t="shared" si="2"/>
        <v>4.0327182390824854</v>
      </c>
      <c r="L24" s="136">
        <f t="shared" si="2"/>
        <v>4.1417745257801206</v>
      </c>
      <c r="M24" s="136">
        <f t="shared" si="2"/>
        <v>4.2548940185876871</v>
      </c>
      <c r="N24" s="237">
        <f>N61+N62+N114</f>
        <v>30.053613949129804</v>
      </c>
      <c r="P24" s="127">
        <f>H35-J35</f>
        <v>-4070.0206260838859</v>
      </c>
      <c r="Q24" s="128">
        <f>I21/P23/P25</f>
        <v>3.9905909753068508E-6</v>
      </c>
      <c r="R24" s="129">
        <f>Q22-I35</f>
        <v>-262.90429298812978</v>
      </c>
    </row>
    <row r="25" spans="1:18" ht="13.8" thickBot="1" x14ac:dyDescent="0.3">
      <c r="A25" s="15" t="s">
        <v>45</v>
      </c>
      <c r="B25" s="16" t="s">
        <v>28</v>
      </c>
      <c r="C25" s="88">
        <f t="shared" ref="C25:N25" si="3">IF($C17=1,0,0.3)</f>
        <v>0</v>
      </c>
      <c r="D25" s="42">
        <f t="shared" si="3"/>
        <v>0</v>
      </c>
      <c r="E25" s="42">
        <f t="shared" si="3"/>
        <v>0</v>
      </c>
      <c r="F25" s="42">
        <f t="shared" si="3"/>
        <v>0</v>
      </c>
      <c r="G25" s="42">
        <f t="shared" si="3"/>
        <v>0</v>
      </c>
      <c r="H25" s="88">
        <f t="shared" si="3"/>
        <v>0</v>
      </c>
      <c r="I25" s="88">
        <f t="shared" si="3"/>
        <v>0</v>
      </c>
      <c r="J25" s="88">
        <f t="shared" si="3"/>
        <v>0</v>
      </c>
      <c r="K25" s="118">
        <f t="shared" si="3"/>
        <v>0</v>
      </c>
      <c r="L25" s="118">
        <f t="shared" si="3"/>
        <v>0</v>
      </c>
      <c r="M25" s="118">
        <f t="shared" si="3"/>
        <v>0</v>
      </c>
      <c r="N25" s="238">
        <f t="shared" si="3"/>
        <v>0</v>
      </c>
      <c r="P25" s="130">
        <f>I35-J35</f>
        <v>-2951.732631335105</v>
      </c>
      <c r="Q25" s="131">
        <f>J21/P24/P25</f>
        <v>1.1797026336343261E-6</v>
      </c>
      <c r="R25" s="132">
        <f>Q22-J35</f>
        <v>-3214.6369243232348</v>
      </c>
    </row>
    <row r="26" spans="1:18" x14ac:dyDescent="0.25">
      <c r="A26" s="15" t="s">
        <v>46</v>
      </c>
      <c r="B26" s="16" t="s">
        <v>28</v>
      </c>
      <c r="C26" s="212">
        <f t="shared" ref="C26:N26" si="4">$K13*MAX(-0.4,-0.1-1.6*C22)</f>
        <v>-0.29200000000000004</v>
      </c>
      <c r="D26" s="213">
        <f t="shared" si="4"/>
        <v>-0.4</v>
      </c>
      <c r="E26" s="213">
        <f t="shared" si="4"/>
        <v>-0.4</v>
      </c>
      <c r="F26" s="213">
        <f t="shared" si="4"/>
        <v>-0.4</v>
      </c>
      <c r="G26" s="213">
        <f t="shared" si="4"/>
        <v>-0.4</v>
      </c>
      <c r="H26" s="212">
        <f t="shared" si="4"/>
        <v>-0.4</v>
      </c>
      <c r="I26" s="212">
        <f t="shared" si="4"/>
        <v>-0.4</v>
      </c>
      <c r="J26" s="212">
        <f t="shared" si="4"/>
        <v>-0.4</v>
      </c>
      <c r="K26" s="214">
        <f t="shared" si="4"/>
        <v>-0.4</v>
      </c>
      <c r="L26" s="214">
        <f t="shared" si="4"/>
        <v>-0.4</v>
      </c>
      <c r="M26" s="214">
        <f t="shared" si="4"/>
        <v>-0.4</v>
      </c>
      <c r="N26" s="240">
        <f t="shared" si="4"/>
        <v>-0.4</v>
      </c>
    </row>
    <row r="27" spans="1:18" x14ac:dyDescent="0.25">
      <c r="A27" s="15" t="s">
        <v>47</v>
      </c>
      <c r="B27" s="16" t="s">
        <v>28</v>
      </c>
      <c r="C27" s="262">
        <f>IF('Ship data'!$C3&lt;55000,0.07,IF('Ship data'!$C3&lt;170000,0.05,0.04))</f>
        <v>7.0000000000000007E-2</v>
      </c>
      <c r="D27" s="213">
        <f>IF('Ship data'!$C3&lt;55000,0.07,IF('Ship data'!$C3&lt;170000,0.05,0.04))</f>
        <v>7.0000000000000007E-2</v>
      </c>
      <c r="E27" s="213">
        <f>IF('Ship data'!$C3&lt;55000,0.07,IF('Ship data'!$C3&lt;170000,0.05,0.04))</f>
        <v>7.0000000000000007E-2</v>
      </c>
      <c r="F27" s="213">
        <f>IF('Ship data'!$C3&lt;55000,0.07,IF('Ship data'!$C3&lt;170000,0.05,0.04))</f>
        <v>7.0000000000000007E-2</v>
      </c>
      <c r="G27" s="213">
        <f>IF('Ship data'!$C3&lt;55000,0.07,IF('Ship data'!$C3&lt;170000,0.05,0.04))</f>
        <v>7.0000000000000007E-2</v>
      </c>
      <c r="H27" s="212">
        <f>IF('Ship data'!$C3&lt;55000,0.07,IF('Ship data'!$C3&lt;170000,0.05,0.04))</f>
        <v>7.0000000000000007E-2</v>
      </c>
      <c r="I27" s="212">
        <f>IF('Ship data'!$C3&lt;55000,0.07,IF('Ship data'!$C3&lt;170000,0.05,0.04))</f>
        <v>7.0000000000000007E-2</v>
      </c>
      <c r="J27" s="212">
        <f>IF('Ship data'!$C3&lt;55000,0.07,IF('Ship data'!$C3&lt;170000,0.05,0.04))</f>
        <v>7.0000000000000007E-2</v>
      </c>
      <c r="K27" s="214">
        <f>IF('Ship data'!$C3&lt;55000,0.07,IF('Ship data'!$C3&lt;170000,0.05,0.04))</f>
        <v>7.0000000000000007E-2</v>
      </c>
      <c r="L27" s="214">
        <f>IF('Ship data'!$C3&lt;55000,0.07,IF('Ship data'!$C3&lt;170000,0.05,0.04))</f>
        <v>7.0000000000000007E-2</v>
      </c>
      <c r="M27" s="214">
        <f>IF('Ship data'!$C3&lt;55000,0.07,IF('Ship data'!$C3&lt;170000,0.05,0.04))</f>
        <v>7.0000000000000007E-2</v>
      </c>
      <c r="N27" s="240">
        <f>IF('Ship data'!$C3&lt;55000,0.07,IF('Ship data'!$C3&lt;170000,0.05,0.04))</f>
        <v>7.0000000000000007E-2</v>
      </c>
    </row>
    <row r="28" spans="1:18" x14ac:dyDescent="0.25">
      <c r="A28" s="15" t="s">
        <v>48</v>
      </c>
      <c r="B28" s="16" t="s">
        <v>28</v>
      </c>
      <c r="C28" s="262">
        <f>MAX(0.5*LOG10($C7)-0.1*(LOG10($C7))^2,'PS1'!$K19)</f>
        <v>0.52893122232160183</v>
      </c>
      <c r="D28" s="350">
        <f>MAX(0.5*LOG10($C7)-0.1*(LOG10($C7))^2,'PS1'!$K19)</f>
        <v>0.52893122232160183</v>
      </c>
      <c r="E28" s="350">
        <f>MAX(0.5*LOG10($C7)-0.1*(LOG10($C7))^2,'PS1'!$K19)</f>
        <v>0.52893122232160183</v>
      </c>
      <c r="F28" s="350">
        <f>MAX(0.5*LOG10($C7)-0.1*(LOG10($C7))^2,'PS1'!$K19)</f>
        <v>0.52893122232160183</v>
      </c>
      <c r="G28" s="350">
        <f>MAX(0.5*LOG10($C7)-0.1*(LOG10($C7))^2,'PS1'!$K19)</f>
        <v>0.52893122232160183</v>
      </c>
      <c r="H28" s="212">
        <f>MAX(0.5*LOG10($C7)-0.1*(LOG10($C7))^2,'PS1'!$K19)</f>
        <v>0.52893122232160183</v>
      </c>
      <c r="I28" s="212">
        <f>MAX(0.5*LOG10($C7)-0.1*(LOG10($C7))^2,'PS1'!$K19)</f>
        <v>0.52893122232160183</v>
      </c>
      <c r="J28" s="212">
        <f>MAX(0.5*LOG10($C7)-0.1*(LOG10($C7))^2,'PS1'!$K19)</f>
        <v>0.52893122232160183</v>
      </c>
      <c r="K28" s="214">
        <f>MAX(0.5*LOG10($C7)-0.1*(LOG10($C7))^2,'PS1'!$K19)</f>
        <v>0.52893122232160183</v>
      </c>
      <c r="L28" s="214">
        <f>MAX(0.5*LOG10($C7)-0.1*(LOG10($C7))^2,'PS1'!$K19)</f>
        <v>0.52893122232160183</v>
      </c>
      <c r="M28" s="214">
        <f>MAX(0.5*LOG10($C7)-0.1*(LOG10($C7))^2,'PS1'!$K19)</f>
        <v>0.52893122232160183</v>
      </c>
      <c r="N28" s="240">
        <f>MAX(0.5*LOG10($C7)-0.1*(LOG10($C7))^2,'PS1'!$K19)</f>
        <v>0.52893122232160183</v>
      </c>
    </row>
    <row r="29" spans="1:18" x14ac:dyDescent="0.25">
      <c r="A29" s="15" t="s">
        <v>49</v>
      </c>
      <c r="B29" s="16" t="s">
        <v>28</v>
      </c>
      <c r="C29" s="88">
        <f t="shared" ref="C29:N29" si="5">C23+C24+C25+C26+C27+C28</f>
        <v>2.8930582655153652</v>
      </c>
      <c r="D29" s="42">
        <f t="shared" si="5"/>
        <v>3.4239657902982259</v>
      </c>
      <c r="E29" s="42">
        <f t="shared" si="5"/>
        <v>3.6196714617640859</v>
      </c>
      <c r="F29" s="42">
        <f t="shared" si="5"/>
        <v>3.8778960409493131</v>
      </c>
      <c r="G29" s="42">
        <f t="shared" si="5"/>
        <v>4.2347942075556668</v>
      </c>
      <c r="H29" s="88">
        <f t="shared" si="5"/>
        <v>4.7442046547647232</v>
      </c>
      <c r="I29" s="88">
        <f t="shared" si="5"/>
        <v>6.5534865021524658</v>
      </c>
      <c r="J29" s="88">
        <f t="shared" si="5"/>
        <v>10.285100415437302</v>
      </c>
      <c r="K29" s="118">
        <f t="shared" si="5"/>
        <v>5.9592274608404585</v>
      </c>
      <c r="L29" s="118">
        <f t="shared" si="5"/>
        <v>6.067404305844712</v>
      </c>
      <c r="M29" s="118">
        <f t="shared" si="5"/>
        <v>6.1796484087285561</v>
      </c>
      <c r="N29" s="237">
        <f t="shared" si="5"/>
        <v>31.929283361643929</v>
      </c>
    </row>
    <row r="30" spans="1:18" x14ac:dyDescent="0.25">
      <c r="A30" s="15" t="s">
        <v>50</v>
      </c>
      <c r="B30" s="16" t="s">
        <v>51</v>
      </c>
      <c r="C30" s="89">
        <f t="shared" ref="C30:N30" si="6">$K11</f>
        <v>0</v>
      </c>
      <c r="D30" s="43">
        <f t="shared" si="6"/>
        <v>0</v>
      </c>
      <c r="E30" s="43">
        <f t="shared" si="6"/>
        <v>0</v>
      </c>
      <c r="F30" s="43">
        <f t="shared" si="6"/>
        <v>0</v>
      </c>
      <c r="G30" s="43">
        <f t="shared" si="6"/>
        <v>0</v>
      </c>
      <c r="H30" s="89">
        <f t="shared" si="6"/>
        <v>0</v>
      </c>
      <c r="I30" s="89">
        <f t="shared" si="6"/>
        <v>0</v>
      </c>
      <c r="J30" s="89">
        <f t="shared" si="6"/>
        <v>0</v>
      </c>
      <c r="K30" s="119">
        <f t="shared" si="6"/>
        <v>0</v>
      </c>
      <c r="L30" s="119">
        <f t="shared" si="6"/>
        <v>0</v>
      </c>
      <c r="M30" s="119">
        <f t="shared" si="6"/>
        <v>0</v>
      </c>
      <c r="N30" s="242">
        <f t="shared" si="6"/>
        <v>0</v>
      </c>
    </row>
    <row r="31" spans="1:18" x14ac:dyDescent="0.25">
      <c r="A31" s="15" t="s">
        <v>52</v>
      </c>
      <c r="B31" s="16" t="s">
        <v>53</v>
      </c>
      <c r="C31" s="90">
        <v>0</v>
      </c>
      <c r="D31" s="44">
        <v>0</v>
      </c>
      <c r="E31" s="44">
        <v>0</v>
      </c>
      <c r="F31" s="44">
        <v>0</v>
      </c>
      <c r="G31" s="44">
        <v>0</v>
      </c>
      <c r="H31" s="90">
        <v>0</v>
      </c>
      <c r="I31" s="90">
        <v>0</v>
      </c>
      <c r="J31" s="90">
        <v>0</v>
      </c>
      <c r="K31" s="120">
        <v>0</v>
      </c>
      <c r="L31" s="120">
        <v>0</v>
      </c>
      <c r="M31" s="120">
        <v>0</v>
      </c>
      <c r="N31" s="244">
        <v>0</v>
      </c>
    </row>
    <row r="32" spans="1:18" x14ac:dyDescent="0.25">
      <c r="A32" s="15" t="s">
        <v>54</v>
      </c>
      <c r="B32" s="16" t="s">
        <v>53</v>
      </c>
      <c r="C32" s="92">
        <f t="shared" ref="C32:N32" si="7">$C9*$C3*C29*C21^2*0.0001323*(1+C30/100)+C31</f>
        <v>17.96298382132839</v>
      </c>
      <c r="D32" s="46">
        <f t="shared" si="7"/>
        <v>59.382572984142371</v>
      </c>
      <c r="E32" s="46">
        <f t="shared" si="7"/>
        <v>69.099629029624396</v>
      </c>
      <c r="F32" s="46">
        <f t="shared" si="7"/>
        <v>81.12807263974193</v>
      </c>
      <c r="G32" s="46">
        <f t="shared" si="7"/>
        <v>96.701759616368676</v>
      </c>
      <c r="H32" s="92">
        <f t="shared" si="7"/>
        <v>117.81411135219047</v>
      </c>
      <c r="I32" s="92">
        <f t="shared" si="7"/>
        <v>190.58258142329134</v>
      </c>
      <c r="J32" s="92">
        <f t="shared" si="7"/>
        <v>346.23892675064695</v>
      </c>
      <c r="K32" s="122">
        <f t="shared" si="7"/>
        <v>166.67147077461237</v>
      </c>
      <c r="L32" s="122">
        <f t="shared" si="7"/>
        <v>171.01321112643151</v>
      </c>
      <c r="M32" s="122">
        <f t="shared" si="7"/>
        <v>175.52258315992958</v>
      </c>
      <c r="N32" s="244">
        <f t="shared" si="7"/>
        <v>1409.7689273226017</v>
      </c>
    </row>
    <row r="33" spans="1:14" x14ac:dyDescent="0.25">
      <c r="A33" s="15" t="s">
        <v>55</v>
      </c>
      <c r="B33" s="16" t="s">
        <v>56</v>
      </c>
      <c r="C33" s="89">
        <f t="shared" ref="C33:N33" si="8">C32*C21*0.5144</f>
        <v>56.240941845830157</v>
      </c>
      <c r="D33" s="43">
        <f t="shared" si="8"/>
        <v>310.73291946278516</v>
      </c>
      <c r="E33" s="43">
        <f t="shared" si="8"/>
        <v>379.35206627531034</v>
      </c>
      <c r="F33" s="43">
        <f t="shared" si="8"/>
        <v>466.25350952084648</v>
      </c>
      <c r="G33" s="43">
        <f t="shared" si="8"/>
        <v>580.62919217755814</v>
      </c>
      <c r="H33" s="89">
        <f t="shared" si="8"/>
        <v>737.6964901455201</v>
      </c>
      <c r="I33" s="89">
        <f t="shared" si="8"/>
        <v>1291.374065118423</v>
      </c>
      <c r="J33" s="89">
        <f t="shared" si="8"/>
        <v>2524.1957335970151</v>
      </c>
      <c r="K33" s="119">
        <f t="shared" si="8"/>
        <v>1107.5424414549657</v>
      </c>
      <c r="L33" s="119">
        <f t="shared" si="8"/>
        <v>1140.7920398777353</v>
      </c>
      <c r="M33" s="119">
        <f t="shared" si="8"/>
        <v>1175.3875235014182</v>
      </c>
      <c r="N33" s="244">
        <f t="shared" si="8"/>
        <v>11770.387822163859</v>
      </c>
    </row>
    <row r="34" spans="1:14" x14ac:dyDescent="0.25">
      <c r="A34" s="15" t="s">
        <v>57</v>
      </c>
      <c r="B34" s="16" t="s">
        <v>28</v>
      </c>
      <c r="C34" s="88">
        <f t="shared" ref="C34:N34" si="9">$K5*$K6*$K7*C38</f>
        <v>0.65927631097866735</v>
      </c>
      <c r="D34" s="42">
        <f t="shared" si="9"/>
        <v>0.63891348766436684</v>
      </c>
      <c r="E34" s="42">
        <f t="shared" si="9"/>
        <v>0.63187768756787988</v>
      </c>
      <c r="F34" s="42">
        <f t="shared" si="9"/>
        <v>0.62294221635502267</v>
      </c>
      <c r="G34" s="42">
        <f t="shared" si="9"/>
        <v>0.61119157808946056</v>
      </c>
      <c r="H34" s="88">
        <f t="shared" si="9"/>
        <v>0.59549800769663519</v>
      </c>
      <c r="I34" s="88">
        <f t="shared" si="9"/>
        <v>0.54787092996927633</v>
      </c>
      <c r="J34" s="88">
        <f t="shared" si="9"/>
        <v>0.47547300140741983</v>
      </c>
      <c r="K34" s="118">
        <f t="shared" si="9"/>
        <v>0.56231135083267125</v>
      </c>
      <c r="L34" s="118">
        <f t="shared" si="9"/>
        <v>0.55960416824016945</v>
      </c>
      <c r="M34" s="118">
        <f t="shared" si="9"/>
        <v>0.55683319553911947</v>
      </c>
      <c r="N34" s="238">
        <f t="shared" si="9"/>
        <v>0.3019694515920438</v>
      </c>
    </row>
    <row r="35" spans="1:14" x14ac:dyDescent="0.25">
      <c r="A35" s="81" t="s">
        <v>58</v>
      </c>
      <c r="B35" s="117" t="s">
        <v>56</v>
      </c>
      <c r="C35" s="115">
        <f t="shared" ref="C35:N35" si="10">C33/C34</f>
        <v>85.307087346036894</v>
      </c>
      <c r="D35" s="116">
        <f t="shared" si="10"/>
        <v>486.34584409653121</v>
      </c>
      <c r="E35" s="116">
        <f t="shared" si="10"/>
        <v>600.35679964496012</v>
      </c>
      <c r="F35" s="116">
        <f t="shared" si="10"/>
        <v>748.46991788259652</v>
      </c>
      <c r="G35" s="116">
        <f t="shared" si="10"/>
        <v>949.9954073198486</v>
      </c>
      <c r="H35" s="115">
        <f t="shared" si="10"/>
        <v>1238.7891825178451</v>
      </c>
      <c r="I35" s="115">
        <f t="shared" si="10"/>
        <v>2357.0771772666258</v>
      </c>
      <c r="J35" s="115">
        <f t="shared" si="10"/>
        <v>5308.8098086017308</v>
      </c>
      <c r="K35" s="122">
        <f t="shared" si="10"/>
        <v>1969.6249058727262</v>
      </c>
      <c r="L35" s="122">
        <f t="shared" si="10"/>
        <v>2038.569590118087</v>
      </c>
      <c r="M35" s="122">
        <f t="shared" si="10"/>
        <v>2110.8431266627731</v>
      </c>
      <c r="N35" s="246">
        <f t="shared" si="10"/>
        <v>38978.736955370827</v>
      </c>
    </row>
    <row r="36" spans="1:14" x14ac:dyDescent="0.25">
      <c r="A36" s="35" t="s">
        <v>59</v>
      </c>
      <c r="B36" s="37" t="s">
        <v>28</v>
      </c>
      <c r="C36" s="93">
        <f t="shared" ref="C36:N36" si="11">2.54648*C32/(1-$K4)/$C17/$C3/(C39*$C18)^2/$K7</f>
        <v>1.1234112867215764</v>
      </c>
      <c r="D36" s="47">
        <f t="shared" si="11"/>
        <v>1.329569424860642</v>
      </c>
      <c r="E36" s="47">
        <f t="shared" si="11"/>
        <v>1.4055644239316354</v>
      </c>
      <c r="F36" s="47">
        <f t="shared" si="11"/>
        <v>1.5058363093006426</v>
      </c>
      <c r="G36" s="47">
        <f t="shared" si="11"/>
        <v>1.6444244025150008</v>
      </c>
      <c r="H36" s="93">
        <f t="shared" si="11"/>
        <v>1.8422349522678232</v>
      </c>
      <c r="I36" s="93">
        <f t="shared" si="11"/>
        <v>2.5448020842345813</v>
      </c>
      <c r="J36" s="93">
        <f t="shared" si="11"/>
        <v>3.9938351845495097</v>
      </c>
      <c r="K36" s="123">
        <f t="shared" si="11"/>
        <v>2.3140437472166688</v>
      </c>
      <c r="L36" s="123">
        <f t="shared" si="11"/>
        <v>2.3560501907398725</v>
      </c>
      <c r="M36" s="123">
        <f t="shared" si="11"/>
        <v>2.3996360021805505</v>
      </c>
      <c r="N36" s="248">
        <f t="shared" si="11"/>
        <v>12.398546456171163</v>
      </c>
    </row>
    <row r="37" spans="1:14" x14ac:dyDescent="0.25">
      <c r="A37" s="35" t="s">
        <v>60</v>
      </c>
      <c r="B37" s="48" t="s">
        <v>28</v>
      </c>
      <c r="C37" s="93">
        <f t="shared" ref="C37:N37" si="12">(1.3+0.3*$C19)*C32/(1-$K4)/$C17/(99.6+$C3*9.81*0.65*$C18)/$C18^2+C72</f>
        <v>0.25128585937199122</v>
      </c>
      <c r="D37" s="47">
        <f t="shared" si="12"/>
        <v>0.36954233870631581</v>
      </c>
      <c r="E37" s="47">
        <f t="shared" si="12"/>
        <v>0.39728536708151452</v>
      </c>
      <c r="F37" s="47">
        <f t="shared" si="12"/>
        <v>0.43162760518562887</v>
      </c>
      <c r="G37" s="47">
        <f t="shared" si="12"/>
        <v>0.47609181715237014</v>
      </c>
      <c r="H37" s="93">
        <f t="shared" si="12"/>
        <v>0.53636939201995681</v>
      </c>
      <c r="I37" s="93">
        <f t="shared" si="12"/>
        <v>0.74412961492625573</v>
      </c>
      <c r="J37" s="93">
        <f t="shared" si="12"/>
        <v>1.1885418304145459</v>
      </c>
      <c r="K37" s="123">
        <f t="shared" si="12"/>
        <v>0.67586134333207792</v>
      </c>
      <c r="L37" s="123">
        <f t="shared" si="12"/>
        <v>0.68825738439785611</v>
      </c>
      <c r="M37" s="123">
        <f t="shared" si="12"/>
        <v>0.70113202829144883</v>
      </c>
      <c r="N37" s="248">
        <f t="shared" si="12"/>
        <v>4.22501119373179</v>
      </c>
    </row>
    <row r="38" spans="1:14" ht="13.8" thickBot="1" x14ac:dyDescent="0.3">
      <c r="A38" s="35" t="s">
        <v>61</v>
      </c>
      <c r="B38" s="37" t="s">
        <v>28</v>
      </c>
      <c r="C38" s="274">
        <f t="shared" ref="C38:M38" si="13">(1+$K15/100)*IF($K14=1,MAX(0.69,0.81-0.014*C36),IF(C36&lt;7,-0.000205*C36^4+0.00518*C36^3-0.0462*C36^2+0.177*C36+0.59,0.85))/(1+SQRT(1+C36))*2</f>
        <v>0.64648748299640757</v>
      </c>
      <c r="D38" s="269">
        <f t="shared" si="13"/>
        <v>0.6265196634768182</v>
      </c>
      <c r="E38" s="269">
        <f t="shared" si="13"/>
        <v>0.61962034581668324</v>
      </c>
      <c r="F38" s="269">
        <f t="shared" si="13"/>
        <v>0.61085820739673657</v>
      </c>
      <c r="G38" s="269">
        <f t="shared" si="13"/>
        <v>0.59933551132924456</v>
      </c>
      <c r="H38" s="272">
        <f t="shared" si="13"/>
        <v>0.58394636924491305</v>
      </c>
      <c r="I38" s="272">
        <f t="shared" si="13"/>
        <v>0.53724317501558061</v>
      </c>
      <c r="J38" s="272">
        <f t="shared" si="13"/>
        <v>0.46624964190860568</v>
      </c>
      <c r="K38" s="273">
        <f t="shared" si="13"/>
        <v>0.55140347651879518</v>
      </c>
      <c r="L38" s="273">
        <f t="shared" si="13"/>
        <v>0.54874880861841191</v>
      </c>
      <c r="M38" s="273">
        <f t="shared" si="13"/>
        <v>0.54603158802801288</v>
      </c>
      <c r="N38" s="270">
        <f>IF($K14=1,MAX(0.69,0.81-0.014*N36),IF(N36&lt;7,-0.000205*N36^4+0.00518*N36^3-0.0462*N36^2+0.177*N36+0.59,0.85))/(1+SQRT(1+N36))*2</f>
        <v>0.29611176292949315</v>
      </c>
    </row>
    <row r="39" spans="1:14" ht="13.8" thickTop="1" x14ac:dyDescent="0.25">
      <c r="A39" s="50" t="s">
        <v>62</v>
      </c>
      <c r="B39" s="51" t="s">
        <v>63</v>
      </c>
      <c r="C39" s="94">
        <f t="shared" ref="C39:N39" si="14">C21*0.5144*(1-$K3)</f>
        <v>2.330200401817347</v>
      </c>
      <c r="D39" s="52">
        <f t="shared" si="14"/>
        <v>3.8944615531241316</v>
      </c>
      <c r="E39" s="52">
        <f t="shared" si="14"/>
        <v>4.0858827955766071</v>
      </c>
      <c r="F39" s="52">
        <f t="shared" si="14"/>
        <v>4.2773040380290821</v>
      </c>
      <c r="G39" s="52">
        <f t="shared" si="14"/>
        <v>4.468725280481558</v>
      </c>
      <c r="H39" s="52">
        <f t="shared" si="14"/>
        <v>4.6601465229340331</v>
      </c>
      <c r="I39" s="52">
        <f t="shared" si="14"/>
        <v>5.0429890078389841</v>
      </c>
      <c r="J39" s="52">
        <f t="shared" si="14"/>
        <v>5.4258314927439351</v>
      </c>
      <c r="K39" s="52">
        <f t="shared" si="14"/>
        <v>4.9455918979057119</v>
      </c>
      <c r="L39" s="52">
        <f t="shared" si="14"/>
        <v>4.9647340221509593</v>
      </c>
      <c r="M39" s="52">
        <f t="shared" si="14"/>
        <v>4.9838761463962067</v>
      </c>
      <c r="N39" s="264">
        <f t="shared" si="14"/>
        <v>6.2138677381795917</v>
      </c>
    </row>
    <row r="40" spans="1:14" x14ac:dyDescent="0.25">
      <c r="A40" s="35" t="s">
        <v>64</v>
      </c>
      <c r="B40" s="37" t="s">
        <v>63</v>
      </c>
      <c r="C40" s="93">
        <f t="shared" ref="C40:N40" si="15">C39*SQRT(1+C36)</f>
        <v>3.3955515921719601</v>
      </c>
      <c r="D40" s="47">
        <f t="shared" si="15"/>
        <v>5.9440882629327625</v>
      </c>
      <c r="E40" s="47">
        <f t="shared" si="15"/>
        <v>6.3371560386032346</v>
      </c>
      <c r="F40" s="47">
        <f t="shared" si="15"/>
        <v>6.7709011060579449</v>
      </c>
      <c r="G40" s="47">
        <f t="shared" si="15"/>
        <v>7.2669008525312169</v>
      </c>
      <c r="H40" s="47">
        <f t="shared" si="15"/>
        <v>7.856508049302831</v>
      </c>
      <c r="I40" s="47">
        <f t="shared" si="15"/>
        <v>9.4947605730856441</v>
      </c>
      <c r="J40" s="47">
        <f t="shared" si="15"/>
        <v>12.125046265692639</v>
      </c>
      <c r="K40" s="47">
        <f t="shared" si="15"/>
        <v>9.0032103021677017</v>
      </c>
      <c r="L40" s="47">
        <f t="shared" si="15"/>
        <v>9.0951572133187106</v>
      </c>
      <c r="M40" s="47">
        <f t="shared" si="15"/>
        <v>9.1893216047353459</v>
      </c>
      <c r="N40" s="265">
        <f t="shared" si="15"/>
        <v>22.745256998549127</v>
      </c>
    </row>
    <row r="41" spans="1:14" x14ac:dyDescent="0.25">
      <c r="A41" s="35" t="s">
        <v>65</v>
      </c>
      <c r="B41" s="37" t="s">
        <v>63</v>
      </c>
      <c r="C41" s="93">
        <f t="shared" ref="C41:N41" si="16">C40-C39</f>
        <v>1.0653511903546131</v>
      </c>
      <c r="D41" s="47">
        <f t="shared" si="16"/>
        <v>2.0496267098086309</v>
      </c>
      <c r="E41" s="47">
        <f t="shared" si="16"/>
        <v>2.2512732430266276</v>
      </c>
      <c r="F41" s="47">
        <f t="shared" si="16"/>
        <v>2.4935970680288628</v>
      </c>
      <c r="G41" s="47">
        <f t="shared" si="16"/>
        <v>2.7981755720496588</v>
      </c>
      <c r="H41" s="47">
        <f t="shared" si="16"/>
        <v>3.1963615263687979</v>
      </c>
      <c r="I41" s="47">
        <f t="shared" si="16"/>
        <v>4.4517715652466601</v>
      </c>
      <c r="J41" s="47">
        <f t="shared" si="16"/>
        <v>6.6992147729487037</v>
      </c>
      <c r="K41" s="47">
        <f t="shared" si="16"/>
        <v>4.0576184042619898</v>
      </c>
      <c r="L41" s="47">
        <f t="shared" si="16"/>
        <v>4.1304231911677514</v>
      </c>
      <c r="M41" s="47">
        <f t="shared" si="16"/>
        <v>4.2054454583391392</v>
      </c>
      <c r="N41" s="265">
        <f t="shared" si="16"/>
        <v>16.531389260369536</v>
      </c>
    </row>
    <row r="42" spans="1:14" x14ac:dyDescent="0.25">
      <c r="A42" s="35" t="s">
        <v>66</v>
      </c>
      <c r="B42" s="37" t="s">
        <v>28</v>
      </c>
      <c r="C42" s="93">
        <f t="shared" ref="C42:N42" si="17">C40/C39</f>
        <v>1.4571929476639585</v>
      </c>
      <c r="D42" s="47">
        <f t="shared" si="17"/>
        <v>1.5262927061545706</v>
      </c>
      <c r="E42" s="47">
        <f t="shared" si="17"/>
        <v>1.5509882088306266</v>
      </c>
      <c r="F42" s="47">
        <f t="shared" si="17"/>
        <v>1.5829833572405752</v>
      </c>
      <c r="G42" s="47">
        <f t="shared" si="17"/>
        <v>1.6261686267158768</v>
      </c>
      <c r="H42" s="47">
        <f t="shared" si="17"/>
        <v>1.6858929243186898</v>
      </c>
      <c r="I42" s="47">
        <f t="shared" si="17"/>
        <v>1.8827644792258487</v>
      </c>
      <c r="J42" s="47">
        <f t="shared" si="17"/>
        <v>2.2346890576877825</v>
      </c>
      <c r="K42" s="47">
        <f t="shared" si="17"/>
        <v>1.8204515228966327</v>
      </c>
      <c r="L42" s="47">
        <f t="shared" si="17"/>
        <v>1.8319525623606832</v>
      </c>
      <c r="M42" s="47">
        <f t="shared" si="17"/>
        <v>1.8438101860496787</v>
      </c>
      <c r="N42" s="265">
        <f t="shared" si="17"/>
        <v>3.6604024992029447</v>
      </c>
    </row>
    <row r="43" spans="1:14" x14ac:dyDescent="0.25">
      <c r="A43" s="35" t="s">
        <v>67</v>
      </c>
      <c r="B43" s="37" t="s">
        <v>63</v>
      </c>
      <c r="C43" s="93">
        <f t="shared" ref="C43:N43" si="18">C39+0.5*C41</f>
        <v>2.8628759969946538</v>
      </c>
      <c r="D43" s="47">
        <f t="shared" si="18"/>
        <v>4.9192749080284468</v>
      </c>
      <c r="E43" s="47">
        <f t="shared" si="18"/>
        <v>5.2115194170899208</v>
      </c>
      <c r="F43" s="47">
        <f t="shared" si="18"/>
        <v>5.524102572043514</v>
      </c>
      <c r="G43" s="47">
        <f t="shared" si="18"/>
        <v>5.8678130665063879</v>
      </c>
      <c r="H43" s="47">
        <f t="shared" si="18"/>
        <v>6.2583272861184316</v>
      </c>
      <c r="I43" s="47">
        <f t="shared" si="18"/>
        <v>7.2688747904623146</v>
      </c>
      <c r="J43" s="47">
        <f t="shared" si="18"/>
        <v>8.7754388792182869</v>
      </c>
      <c r="K43" s="47">
        <f t="shared" si="18"/>
        <v>6.9744011000367063</v>
      </c>
      <c r="L43" s="47">
        <f t="shared" si="18"/>
        <v>7.0299456177348354</v>
      </c>
      <c r="M43" s="47">
        <f t="shared" si="18"/>
        <v>7.0865988755657767</v>
      </c>
      <c r="N43" s="265">
        <f t="shared" si="18"/>
        <v>14.479562368364359</v>
      </c>
    </row>
    <row r="44" spans="1:14" x14ac:dyDescent="0.25">
      <c r="A44" s="35" t="s">
        <v>68</v>
      </c>
      <c r="B44" s="37" t="s">
        <v>69</v>
      </c>
      <c r="C44" s="92">
        <f t="shared" ref="C44:N44" si="19">0.785*$C18^2*C43</f>
        <v>21.229575361011825</v>
      </c>
      <c r="D44" s="46">
        <f t="shared" si="19"/>
        <v>36.478742876448607</v>
      </c>
      <c r="E44" s="46">
        <f t="shared" si="19"/>
        <v>38.645873704146155</v>
      </c>
      <c r="F44" s="46">
        <f t="shared" si="19"/>
        <v>40.963825180785861</v>
      </c>
      <c r="G44" s="46">
        <f t="shared" si="19"/>
        <v>43.512600556397722</v>
      </c>
      <c r="H44" s="46">
        <f t="shared" si="19"/>
        <v>46.408447621902347</v>
      </c>
      <c r="I44" s="46">
        <f t="shared" si="19"/>
        <v>53.902133838794732</v>
      </c>
      <c r="J44" s="46">
        <f t="shared" si="19"/>
        <v>65.074016900448257</v>
      </c>
      <c r="K44" s="46">
        <f t="shared" si="19"/>
        <v>51.718472580225253</v>
      </c>
      <c r="L44" s="46">
        <f t="shared" si="19"/>
        <v>52.130361368143888</v>
      </c>
      <c r="M44" s="46">
        <f t="shared" si="19"/>
        <v>52.550471986917238</v>
      </c>
      <c r="N44" s="244">
        <f t="shared" si="19"/>
        <v>107.37278206123996</v>
      </c>
    </row>
    <row r="45" spans="1:14" ht="13.8" thickBot="1" x14ac:dyDescent="0.3">
      <c r="A45" s="35" t="s">
        <v>70</v>
      </c>
      <c r="B45" s="37" t="s">
        <v>28</v>
      </c>
      <c r="C45" s="88">
        <f>C61+C62+C114</f>
        <v>0.67351412501459762</v>
      </c>
      <c r="D45" s="135">
        <f t="shared" ref="D45:N45" si="20">D61+D62+D114</f>
        <v>1.4417269081799344</v>
      </c>
      <c r="E45" s="135">
        <f t="shared" si="20"/>
        <v>1.6488381115764674</v>
      </c>
      <c r="F45" s="135">
        <f t="shared" si="20"/>
        <v>1.9178442106222422</v>
      </c>
      <c r="G45" s="135">
        <f t="shared" si="20"/>
        <v>2.2849600284533125</v>
      </c>
      <c r="H45" s="135">
        <f t="shared" si="20"/>
        <v>2.8040763192299236</v>
      </c>
      <c r="I45" s="135">
        <f t="shared" si="20"/>
        <v>4.6314101957255298</v>
      </c>
      <c r="J45" s="135">
        <f t="shared" si="20"/>
        <v>8.3795051041994117</v>
      </c>
      <c r="K45" s="135">
        <f t="shared" si="20"/>
        <v>4.0327182390824854</v>
      </c>
      <c r="L45" s="135">
        <f t="shared" si="20"/>
        <v>4.1417745257801206</v>
      </c>
      <c r="M45" s="135">
        <f t="shared" si="20"/>
        <v>4.2548940185876871</v>
      </c>
      <c r="N45" s="266">
        <f t="shared" si="20"/>
        <v>30.053613949129804</v>
      </c>
    </row>
    <row r="46" spans="1:14" x14ac:dyDescent="0.25">
      <c r="A46" s="50"/>
      <c r="B46" s="55" t="s">
        <v>71</v>
      </c>
      <c r="C46" s="54">
        <f t="shared" ref="C46:N46" si="21">1.35-0.23*$C13+0.012*$C13^2</f>
        <v>0.51791096127662084</v>
      </c>
      <c r="D46" s="54">
        <f t="shared" si="21"/>
        <v>0.51791096127662084</v>
      </c>
      <c r="E46" s="54">
        <f t="shared" si="21"/>
        <v>0.51791096127662084</v>
      </c>
      <c r="F46" s="54">
        <f t="shared" si="21"/>
        <v>0.51791096127662084</v>
      </c>
      <c r="G46" s="54">
        <f t="shared" si="21"/>
        <v>0.51791096127662084</v>
      </c>
      <c r="H46" s="54">
        <f t="shared" si="21"/>
        <v>0.51791096127662084</v>
      </c>
      <c r="I46" s="54">
        <f t="shared" si="21"/>
        <v>0.51791096127662084</v>
      </c>
      <c r="J46" s="54">
        <f t="shared" si="21"/>
        <v>0.51791096127662084</v>
      </c>
      <c r="K46" s="54">
        <f t="shared" si="21"/>
        <v>0.51791096127662084</v>
      </c>
      <c r="L46" s="54">
        <f t="shared" si="21"/>
        <v>0.51791096127662084</v>
      </c>
      <c r="M46" s="54">
        <f t="shared" si="21"/>
        <v>0.51791096127662084</v>
      </c>
      <c r="N46" s="57">
        <f t="shared" si="21"/>
        <v>0.51791096127662084</v>
      </c>
    </row>
    <row r="47" spans="1:14" x14ac:dyDescent="0.25">
      <c r="A47" s="35"/>
      <c r="B47" s="53" t="s">
        <v>72</v>
      </c>
      <c r="C47" s="43">
        <f t="shared" ref="C47:N47" si="22">0.0011*$C13^9.1</f>
        <v>1876.9750401177689</v>
      </c>
      <c r="D47" s="43">
        <f t="shared" si="22"/>
        <v>1876.9750401177689</v>
      </c>
      <c r="E47" s="43">
        <f t="shared" si="22"/>
        <v>1876.9750401177689</v>
      </c>
      <c r="F47" s="43">
        <f t="shared" si="22"/>
        <v>1876.9750401177689</v>
      </c>
      <c r="G47" s="43">
        <f t="shared" si="22"/>
        <v>1876.9750401177689</v>
      </c>
      <c r="H47" s="43">
        <f t="shared" si="22"/>
        <v>1876.9750401177689</v>
      </c>
      <c r="I47" s="43">
        <f t="shared" si="22"/>
        <v>1876.9750401177689</v>
      </c>
      <c r="J47" s="43">
        <f t="shared" si="22"/>
        <v>1876.9750401177689</v>
      </c>
      <c r="K47" s="43">
        <f t="shared" si="22"/>
        <v>1876.9750401177689</v>
      </c>
      <c r="L47" s="43">
        <f t="shared" si="22"/>
        <v>1876.9750401177689</v>
      </c>
      <c r="M47" s="43">
        <f t="shared" si="22"/>
        <v>1876.9750401177689</v>
      </c>
      <c r="N47" s="46">
        <f t="shared" si="22"/>
        <v>1876.9750401177689</v>
      </c>
    </row>
    <row r="48" spans="1:14" x14ac:dyDescent="0.25">
      <c r="A48" s="35"/>
      <c r="B48" s="53" t="s">
        <v>73</v>
      </c>
      <c r="C48" s="42">
        <f t="shared" ref="C48:N48" si="23">2*$C13-3.7</f>
        <v>5.9799339201770669</v>
      </c>
      <c r="D48" s="42">
        <f t="shared" si="23"/>
        <v>5.9799339201770669</v>
      </c>
      <c r="E48" s="42">
        <f t="shared" si="23"/>
        <v>5.9799339201770669</v>
      </c>
      <c r="F48" s="42">
        <f t="shared" si="23"/>
        <v>5.9799339201770669</v>
      </c>
      <c r="G48" s="42">
        <f t="shared" si="23"/>
        <v>5.9799339201770669</v>
      </c>
      <c r="H48" s="42">
        <f t="shared" si="23"/>
        <v>5.9799339201770669</v>
      </c>
      <c r="I48" s="42">
        <f t="shared" si="23"/>
        <v>5.9799339201770669</v>
      </c>
      <c r="J48" s="42">
        <f t="shared" si="23"/>
        <v>5.9799339201770669</v>
      </c>
      <c r="K48" s="42">
        <f t="shared" si="23"/>
        <v>5.9799339201770669</v>
      </c>
      <c r="L48" s="42">
        <f t="shared" si="23"/>
        <v>5.9799339201770669</v>
      </c>
      <c r="M48" s="42">
        <f t="shared" si="23"/>
        <v>5.9799339201770669</v>
      </c>
      <c r="N48" s="56">
        <f t="shared" si="23"/>
        <v>5.9799339201770669</v>
      </c>
    </row>
    <row r="49" spans="1:14" x14ac:dyDescent="0.25">
      <c r="A49" s="35"/>
      <c r="B49" s="53" t="s">
        <v>74</v>
      </c>
      <c r="C49" s="42">
        <f t="shared" ref="C49:N49" si="24">7-0.09*$C13^2</f>
        <v>4.8917247842726219</v>
      </c>
      <c r="D49" s="42">
        <f t="shared" si="24"/>
        <v>4.8917247842726219</v>
      </c>
      <c r="E49" s="42">
        <f t="shared" si="24"/>
        <v>4.8917247842726219</v>
      </c>
      <c r="F49" s="42">
        <f t="shared" si="24"/>
        <v>4.8917247842726219</v>
      </c>
      <c r="G49" s="42">
        <f t="shared" si="24"/>
        <v>4.8917247842726219</v>
      </c>
      <c r="H49" s="42">
        <f t="shared" si="24"/>
        <v>4.8917247842726219</v>
      </c>
      <c r="I49" s="42">
        <f t="shared" si="24"/>
        <v>4.8917247842726219</v>
      </c>
      <c r="J49" s="42">
        <f t="shared" si="24"/>
        <v>4.8917247842726219</v>
      </c>
      <c r="K49" s="42">
        <f t="shared" si="24"/>
        <v>4.8917247842726219</v>
      </c>
      <c r="L49" s="42">
        <f t="shared" si="24"/>
        <v>4.8917247842726219</v>
      </c>
      <c r="M49" s="42">
        <f t="shared" si="24"/>
        <v>4.8917247842726219</v>
      </c>
      <c r="N49" s="56">
        <f t="shared" si="24"/>
        <v>4.8917247842726219</v>
      </c>
    </row>
    <row r="50" spans="1:14" x14ac:dyDescent="0.25">
      <c r="A50" s="35"/>
      <c r="B50" s="53" t="s">
        <v>75</v>
      </c>
      <c r="C50" s="42">
        <f t="shared" ref="C50:N50" si="25">(5*$C12-2.5)^2</f>
        <v>2.0425547958472321</v>
      </c>
      <c r="D50" s="42">
        <f t="shared" si="25"/>
        <v>2.0425547958472321</v>
      </c>
      <c r="E50" s="42">
        <f t="shared" si="25"/>
        <v>2.0425547958472321</v>
      </c>
      <c r="F50" s="42">
        <f t="shared" si="25"/>
        <v>2.0425547958472321</v>
      </c>
      <c r="G50" s="42">
        <f t="shared" si="25"/>
        <v>2.0425547958472321</v>
      </c>
      <c r="H50" s="42">
        <f t="shared" si="25"/>
        <v>2.0425547958472321</v>
      </c>
      <c r="I50" s="42">
        <f t="shared" si="25"/>
        <v>2.0425547958472321</v>
      </c>
      <c r="J50" s="42">
        <f t="shared" si="25"/>
        <v>2.0425547958472321</v>
      </c>
      <c r="K50" s="42">
        <f t="shared" si="25"/>
        <v>2.0425547958472321</v>
      </c>
      <c r="L50" s="42">
        <f t="shared" si="25"/>
        <v>2.0425547958472321</v>
      </c>
      <c r="M50" s="42">
        <f t="shared" si="25"/>
        <v>2.0425547958472321</v>
      </c>
      <c r="N50" s="56">
        <f t="shared" si="25"/>
        <v>2.0425547958472321</v>
      </c>
    </row>
    <row r="51" spans="1:14" x14ac:dyDescent="0.25">
      <c r="A51" s="35"/>
      <c r="B51" s="53" t="s">
        <v>76</v>
      </c>
      <c r="C51" s="42">
        <f t="shared" ref="C51:N51" si="26">(600*(C22-0.315)^2+1)^1.5</f>
        <v>116.21866402766382</v>
      </c>
      <c r="D51" s="42">
        <f t="shared" si="26"/>
        <v>26.365644653148415</v>
      </c>
      <c r="E51" s="42">
        <f t="shared" si="26"/>
        <v>20.798874499411056</v>
      </c>
      <c r="F51" s="42">
        <f t="shared" si="26"/>
        <v>16.130584006034162</v>
      </c>
      <c r="G51" s="42">
        <f t="shared" si="26"/>
        <v>12.277002360042575</v>
      </c>
      <c r="H51" s="42">
        <f t="shared" si="26"/>
        <v>9.1546672481812088</v>
      </c>
      <c r="I51" s="42">
        <f t="shared" si="26"/>
        <v>4.7726452880337096</v>
      </c>
      <c r="J51" s="42">
        <f t="shared" si="26"/>
        <v>2.3342076079393079</v>
      </c>
      <c r="K51" s="42">
        <f t="shared" si="26"/>
        <v>5.6777544923844143</v>
      </c>
      <c r="L51" s="42">
        <f t="shared" si="26"/>
        <v>5.48944924831466</v>
      </c>
      <c r="M51" s="42">
        <f t="shared" si="26"/>
        <v>5.3063236401157843</v>
      </c>
      <c r="N51" s="56">
        <f t="shared" si="26"/>
        <v>1.0225841652402019</v>
      </c>
    </row>
    <row r="52" spans="1:14" x14ac:dyDescent="0.25">
      <c r="A52" s="35"/>
      <c r="B52" s="53" t="s">
        <v>77</v>
      </c>
      <c r="C52" s="42">
        <f t="shared" ref="C52:N52" si="27">C49*C50/C51</f>
        <v>8.5972558725184459E-2</v>
      </c>
      <c r="D52" s="42">
        <f t="shared" si="27"/>
        <v>0.37896345981768653</v>
      </c>
      <c r="E52" s="42">
        <f t="shared" si="27"/>
        <v>0.48039214421740634</v>
      </c>
      <c r="F52" s="42">
        <f t="shared" si="27"/>
        <v>0.61942059347281697</v>
      </c>
      <c r="G52" s="42">
        <f t="shared" si="27"/>
        <v>0.81384817116270081</v>
      </c>
      <c r="H52" s="42">
        <f t="shared" si="27"/>
        <v>1.0914231666984817</v>
      </c>
      <c r="I52" s="42">
        <f t="shared" si="27"/>
        <v>2.0935173923636117</v>
      </c>
      <c r="J52" s="42">
        <f t="shared" si="27"/>
        <v>4.2805172445229234</v>
      </c>
      <c r="K52" s="42">
        <f t="shared" si="27"/>
        <v>1.7597830148314073</v>
      </c>
      <c r="L52" s="42">
        <f t="shared" si="27"/>
        <v>1.8201490652542933</v>
      </c>
      <c r="M52" s="42">
        <f t="shared" si="27"/>
        <v>1.8829639116891093</v>
      </c>
      <c r="N52" s="56">
        <f t="shared" si="27"/>
        <v>9.7709472312568142</v>
      </c>
    </row>
    <row r="53" spans="1:14" x14ac:dyDescent="0.25">
      <c r="A53" s="35"/>
      <c r="B53" s="53"/>
      <c r="C53" s="42">
        <f t="shared" ref="C53:N53" si="28">C22-(0.04+0.59*$C12)-0.015*($C13-5)</f>
        <v>-0.38124271647159441</v>
      </c>
      <c r="D53" s="42">
        <f t="shared" si="28"/>
        <v>-0.30068683895547338</v>
      </c>
      <c r="E53" s="42">
        <f t="shared" si="28"/>
        <v>-0.29082908205337088</v>
      </c>
      <c r="F53" s="42">
        <f t="shared" si="28"/>
        <v>-0.28097132515126833</v>
      </c>
      <c r="G53" s="42">
        <f t="shared" si="28"/>
        <v>-0.27111356824916583</v>
      </c>
      <c r="H53" s="42">
        <f t="shared" si="28"/>
        <v>-0.26125581134706327</v>
      </c>
      <c r="I53" s="42">
        <f t="shared" si="28"/>
        <v>-0.24154029754285822</v>
      </c>
      <c r="J53" s="42">
        <f t="shared" si="28"/>
        <v>-0.22182478373865316</v>
      </c>
      <c r="K53" s="42">
        <f t="shared" si="28"/>
        <v>-0.24655602631145568</v>
      </c>
      <c r="L53" s="42">
        <f t="shared" si="28"/>
        <v>-0.24557025062124543</v>
      </c>
      <c r="M53" s="42">
        <f t="shared" si="28"/>
        <v>-0.24458447493103519</v>
      </c>
      <c r="N53" s="56">
        <f t="shared" si="28"/>
        <v>-0.1812427164715944</v>
      </c>
    </row>
    <row r="54" spans="1:14" x14ac:dyDescent="0.25">
      <c r="A54" s="18"/>
      <c r="B54" s="53" t="s">
        <v>78</v>
      </c>
      <c r="C54" s="42">
        <f t="shared" ref="C54:N54" si="29">EXP(80*C53)</f>
        <v>5.6789933174893766E-14</v>
      </c>
      <c r="D54" s="42">
        <f t="shared" si="29"/>
        <v>3.5732977414028468E-11</v>
      </c>
      <c r="E54" s="42">
        <f t="shared" si="29"/>
        <v>7.862538028160401E-11</v>
      </c>
      <c r="F54" s="42">
        <f t="shared" si="29"/>
        <v>1.7300406716177771E-10</v>
      </c>
      <c r="G54" s="42">
        <f t="shared" si="29"/>
        <v>3.806710650850677E-10</v>
      </c>
      <c r="H54" s="42">
        <f t="shared" si="29"/>
        <v>8.3761302361460523E-10</v>
      </c>
      <c r="I54" s="42">
        <f t="shared" si="29"/>
        <v>4.0553704247469232E-9</v>
      </c>
      <c r="J54" s="42">
        <f t="shared" si="29"/>
        <v>1.9634400156460602E-8</v>
      </c>
      <c r="K54" s="42">
        <f t="shared" si="29"/>
        <v>2.7149776791103719E-9</v>
      </c>
      <c r="L54" s="42">
        <f t="shared" si="29"/>
        <v>2.9377553026872023E-9</v>
      </c>
      <c r="M54" s="42">
        <f t="shared" si="29"/>
        <v>3.1788129548434215E-9</v>
      </c>
      <c r="N54" s="56">
        <f t="shared" si="29"/>
        <v>5.0464162264436253E-7</v>
      </c>
    </row>
    <row r="55" spans="1:14" x14ac:dyDescent="0.25">
      <c r="A55" s="18"/>
      <c r="B55" s="53"/>
      <c r="C55" s="42">
        <f t="shared" ref="C55:N55" si="30">20*$C12-16</f>
        <v>-0.28328094677062943</v>
      </c>
      <c r="D55" s="42">
        <f t="shared" si="30"/>
        <v>-0.28328094677062943</v>
      </c>
      <c r="E55" s="42">
        <f t="shared" si="30"/>
        <v>-0.28328094677062943</v>
      </c>
      <c r="F55" s="42">
        <f t="shared" si="30"/>
        <v>-0.28328094677062943</v>
      </c>
      <c r="G55" s="42">
        <f t="shared" si="30"/>
        <v>-0.28328094677062943</v>
      </c>
      <c r="H55" s="42">
        <f t="shared" si="30"/>
        <v>-0.28328094677062943</v>
      </c>
      <c r="I55" s="42">
        <f t="shared" si="30"/>
        <v>-0.28328094677062943</v>
      </c>
      <c r="J55" s="42">
        <f t="shared" si="30"/>
        <v>-0.28328094677062943</v>
      </c>
      <c r="K55" s="42">
        <f t="shared" si="30"/>
        <v>-0.28328094677062943</v>
      </c>
      <c r="L55" s="42">
        <f t="shared" si="30"/>
        <v>-0.28328094677062943</v>
      </c>
      <c r="M55" s="42">
        <f t="shared" si="30"/>
        <v>-0.28328094677062943</v>
      </c>
      <c r="N55" s="56">
        <f t="shared" si="30"/>
        <v>-0.28328094677062943</v>
      </c>
    </row>
    <row r="56" spans="1:14" x14ac:dyDescent="0.25">
      <c r="A56" s="18"/>
      <c r="B56" s="53" t="s">
        <v>79</v>
      </c>
      <c r="C56" s="42">
        <f t="shared" ref="C56:N56" si="31">180*C22^3.7*EXP(C55)</f>
        <v>5.3114826044910156E-2</v>
      </c>
      <c r="D56" s="42">
        <f t="shared" si="31"/>
        <v>0.35523529627615397</v>
      </c>
      <c r="E56" s="42">
        <f t="shared" si="31"/>
        <v>0.42424672774763872</v>
      </c>
      <c r="F56" s="42">
        <f t="shared" si="31"/>
        <v>0.50256252899129816</v>
      </c>
      <c r="G56" s="42">
        <f t="shared" si="31"/>
        <v>0.59093564078763172</v>
      </c>
      <c r="H56" s="42">
        <f t="shared" si="31"/>
        <v>0.69014297232513677</v>
      </c>
      <c r="I56" s="42">
        <f t="shared" si="31"/>
        <v>0.92428591238187408</v>
      </c>
      <c r="J56" s="42">
        <f t="shared" si="31"/>
        <v>1.2116745089967649</v>
      </c>
      <c r="K56" s="42">
        <f t="shared" si="31"/>
        <v>0.8599402486533354</v>
      </c>
      <c r="L56" s="42">
        <f t="shared" si="31"/>
        <v>0.87231995066116197</v>
      </c>
      <c r="M56" s="42">
        <f t="shared" si="31"/>
        <v>0.88482920052253311</v>
      </c>
      <c r="N56" s="56">
        <f t="shared" si="31"/>
        <v>2.001244138335013</v>
      </c>
    </row>
    <row r="57" spans="1:14" x14ac:dyDescent="0.25">
      <c r="A57" s="18"/>
      <c r="B57" s="53"/>
      <c r="C57" s="42">
        <f t="shared" ref="C57:N57" si="32">C46+1.5*C22^1.8+C47*C22^(C48)</f>
        <v>0.55676704460555493</v>
      </c>
      <c r="D57" s="42">
        <f t="shared" si="32"/>
        <v>0.72725500509168595</v>
      </c>
      <c r="E57" s="42">
        <f t="shared" si="32"/>
        <v>0.77668249641529608</v>
      </c>
      <c r="F57" s="42">
        <f t="shared" si="32"/>
        <v>0.83740585049616012</v>
      </c>
      <c r="G57" s="42">
        <f t="shared" si="32"/>
        <v>0.91162046525415175</v>
      </c>
      <c r="H57" s="42">
        <f t="shared" si="32"/>
        <v>1.0018351715800176</v>
      </c>
      <c r="I57" s="42">
        <f t="shared" si="32"/>
        <v>1.242038591353817</v>
      </c>
      <c r="J57" s="42">
        <f t="shared" si="32"/>
        <v>1.5854626725538501</v>
      </c>
      <c r="K57" s="42">
        <f t="shared" si="32"/>
        <v>1.1723406752069647</v>
      </c>
      <c r="L57" s="42">
        <f t="shared" si="32"/>
        <v>1.1855378726597188</v>
      </c>
      <c r="M57" s="42">
        <f t="shared" si="32"/>
        <v>1.1989763679691017</v>
      </c>
      <c r="N57" s="56">
        <f t="shared" si="32"/>
        <v>2.7728210210823812</v>
      </c>
    </row>
    <row r="58" spans="1:14" x14ac:dyDescent="0.25">
      <c r="A58" s="35"/>
      <c r="B58" s="53"/>
      <c r="C58" s="42">
        <f t="shared" ref="C58:N58" si="33">0.98+2.5/($C13-2)^4</f>
        <v>1.0184314577907001</v>
      </c>
      <c r="D58" s="42">
        <f t="shared" si="33"/>
        <v>1.0184314577907001</v>
      </c>
      <c r="E58" s="42">
        <f t="shared" si="33"/>
        <v>1.0184314577907001</v>
      </c>
      <c r="F58" s="42">
        <f t="shared" si="33"/>
        <v>1.0184314577907001</v>
      </c>
      <c r="G58" s="42">
        <f t="shared" si="33"/>
        <v>1.0184314577907001</v>
      </c>
      <c r="H58" s="42">
        <f t="shared" si="33"/>
        <v>1.0184314577907001</v>
      </c>
      <c r="I58" s="42">
        <f t="shared" si="33"/>
        <v>1.0184314577907001</v>
      </c>
      <c r="J58" s="42">
        <f t="shared" si="33"/>
        <v>1.0184314577907001</v>
      </c>
      <c r="K58" s="42">
        <f t="shared" si="33"/>
        <v>1.0184314577907001</v>
      </c>
      <c r="L58" s="42">
        <f t="shared" si="33"/>
        <v>1.0184314577907001</v>
      </c>
      <c r="M58" s="42">
        <f t="shared" si="33"/>
        <v>1.0184314577907001</v>
      </c>
      <c r="N58" s="56">
        <f t="shared" si="33"/>
        <v>1.0184314577907001</v>
      </c>
    </row>
    <row r="59" spans="1:14" x14ac:dyDescent="0.25">
      <c r="A59" s="35"/>
      <c r="B59" s="53"/>
      <c r="C59" s="42">
        <f t="shared" ref="C59:N59" si="34">($C13-5)^4*(C22-0.1)^4</f>
        <v>1.0494423897724807E-10</v>
      </c>
      <c r="D59" s="42">
        <f t="shared" si="34"/>
        <v>6.7060758466725838E-8</v>
      </c>
      <c r="E59" s="42">
        <f t="shared" si="34"/>
        <v>9.7483124801911939E-8</v>
      </c>
      <c r="F59" s="42">
        <f t="shared" si="34"/>
        <v>1.3724229121356253E-7</v>
      </c>
      <c r="G59" s="42">
        <f t="shared" si="34"/>
        <v>1.8807755403886009E-7</v>
      </c>
      <c r="H59" s="42">
        <f t="shared" si="34"/>
        <v>2.5187685871275862E-7</v>
      </c>
      <c r="I59" s="42">
        <f t="shared" si="34"/>
        <v>4.2666262083502965E-7</v>
      </c>
      <c r="J59" s="42">
        <f t="shared" si="34"/>
        <v>6.7967612301542778E-7</v>
      </c>
      <c r="K59" s="42">
        <f t="shared" si="34"/>
        <v>3.7553498960050694E-7</v>
      </c>
      <c r="L59" s="42">
        <f t="shared" si="34"/>
        <v>3.8519960989623751E-7</v>
      </c>
      <c r="M59" s="42">
        <f t="shared" si="34"/>
        <v>3.9504958445788744E-7</v>
      </c>
      <c r="N59" s="56">
        <f t="shared" si="34"/>
        <v>1.5364886028658923E-6</v>
      </c>
    </row>
    <row r="60" spans="1:14" x14ac:dyDescent="0.25">
      <c r="A60" s="35"/>
      <c r="B60" s="53" t="s">
        <v>80</v>
      </c>
      <c r="C60" s="42">
        <f t="shared" ref="C60:N60" si="35">C57*C58+C59</f>
        <v>0.56702907299239935</v>
      </c>
      <c r="D60" s="42">
        <f t="shared" si="35"/>
        <v>0.74065944208186729</v>
      </c>
      <c r="E60" s="42">
        <f t="shared" si="35"/>
        <v>0.79099798454787495</v>
      </c>
      <c r="F60" s="42">
        <f t="shared" si="35"/>
        <v>0.85284059832555659</v>
      </c>
      <c r="G60" s="42">
        <f t="shared" si="35"/>
        <v>0.92842314745817611</v>
      </c>
      <c r="H60" s="42">
        <f t="shared" si="35"/>
        <v>1.0203007061350922</v>
      </c>
      <c r="I60" s="42">
        <f t="shared" si="35"/>
        <v>1.2649315998873962</v>
      </c>
      <c r="J60" s="42">
        <f t="shared" si="35"/>
        <v>1.6146857405578798</v>
      </c>
      <c r="K60" s="42">
        <f t="shared" si="35"/>
        <v>1.1939489984133522</v>
      </c>
      <c r="L60" s="42">
        <f t="shared" si="35"/>
        <v>1.2073894491185329</v>
      </c>
      <c r="M60" s="42">
        <f t="shared" si="35"/>
        <v>1.2210756453369556</v>
      </c>
      <c r="N60" s="56">
        <f t="shared" si="35"/>
        <v>2.8239296911822303</v>
      </c>
    </row>
    <row r="61" spans="1:14" x14ac:dyDescent="0.25">
      <c r="A61" s="35"/>
      <c r="B61" s="53" t="s">
        <v>81</v>
      </c>
      <c r="C61" s="42">
        <f t="shared" ref="C61:N61" si="36">0.16*($C5/$C6-2.5)</f>
        <v>3.1120234649646861E-2</v>
      </c>
      <c r="D61" s="42">
        <f t="shared" si="36"/>
        <v>3.1120234649646861E-2</v>
      </c>
      <c r="E61" s="42">
        <f t="shared" si="36"/>
        <v>3.1120234649646861E-2</v>
      </c>
      <c r="F61" s="42">
        <f t="shared" si="36"/>
        <v>3.1120234649646861E-2</v>
      </c>
      <c r="G61" s="42">
        <f t="shared" si="36"/>
        <v>3.1120234649646861E-2</v>
      </c>
      <c r="H61" s="42">
        <f t="shared" si="36"/>
        <v>3.1120234649646861E-2</v>
      </c>
      <c r="I61" s="42">
        <f t="shared" si="36"/>
        <v>3.1120234649646861E-2</v>
      </c>
      <c r="J61" s="42">
        <f t="shared" si="36"/>
        <v>3.1120234649646861E-2</v>
      </c>
      <c r="K61" s="42">
        <f t="shared" si="36"/>
        <v>3.1120234649646861E-2</v>
      </c>
      <c r="L61" s="42">
        <f t="shared" si="36"/>
        <v>3.1120234649646861E-2</v>
      </c>
      <c r="M61" s="42">
        <f t="shared" si="36"/>
        <v>3.1120234649646861E-2</v>
      </c>
      <c r="N61" s="56">
        <f t="shared" si="36"/>
        <v>3.1120234649646861E-2</v>
      </c>
    </row>
    <row r="62" spans="1:14" x14ac:dyDescent="0.25">
      <c r="A62" s="35"/>
      <c r="B62" s="53" t="s">
        <v>82</v>
      </c>
      <c r="C62" s="42">
        <f t="shared" ref="C62:N62" si="37">($C15-$C14)/3*0.1</f>
        <v>0</v>
      </c>
      <c r="D62" s="42">
        <f t="shared" si="37"/>
        <v>0</v>
      </c>
      <c r="E62" s="42">
        <f t="shared" si="37"/>
        <v>0</v>
      </c>
      <c r="F62" s="42">
        <f t="shared" si="37"/>
        <v>0</v>
      </c>
      <c r="G62" s="42">
        <f t="shared" si="37"/>
        <v>0</v>
      </c>
      <c r="H62" s="42">
        <f t="shared" si="37"/>
        <v>0</v>
      </c>
      <c r="I62" s="42">
        <f t="shared" si="37"/>
        <v>0</v>
      </c>
      <c r="J62" s="42">
        <f t="shared" si="37"/>
        <v>0</v>
      </c>
      <c r="K62" s="42">
        <f t="shared" si="37"/>
        <v>0</v>
      </c>
      <c r="L62" s="42">
        <f t="shared" si="37"/>
        <v>0</v>
      </c>
      <c r="M62" s="42">
        <f t="shared" si="37"/>
        <v>0</v>
      </c>
      <c r="N62" s="56">
        <f t="shared" si="37"/>
        <v>0</v>
      </c>
    </row>
    <row r="63" spans="1:14" x14ac:dyDescent="0.25">
      <c r="A63" s="35"/>
      <c r="B63" s="53" t="s">
        <v>83</v>
      </c>
      <c r="C63" s="53">
        <f>0.1*C5/C4+0.149</f>
        <v>0.16643404365847386</v>
      </c>
      <c r="D63" s="53" t="s">
        <v>84</v>
      </c>
      <c r="E63" s="53">
        <f>0.625*C5/C4+0.08</f>
        <v>0.18896277286546165</v>
      </c>
      <c r="F63" s="53"/>
      <c r="G63" s="53"/>
      <c r="H63" s="53"/>
      <c r="I63" s="53"/>
      <c r="J63" s="53"/>
      <c r="K63" s="53"/>
      <c r="L63" s="53"/>
      <c r="M63" s="53"/>
      <c r="N63" s="58"/>
    </row>
    <row r="64" spans="1:14" x14ac:dyDescent="0.25">
      <c r="A64" s="35"/>
      <c r="B64" s="53" t="s">
        <v>85</v>
      </c>
      <c r="C64" s="53">
        <f>0.05*C5/C4+0.449</f>
        <v>0.45771702182923696</v>
      </c>
      <c r="D64" s="53" t="s">
        <v>86</v>
      </c>
      <c r="E64" s="53">
        <f>0.165-0.25*C5/C4</f>
        <v>0.12141489085381535</v>
      </c>
      <c r="F64" s="53"/>
      <c r="G64" s="53"/>
      <c r="H64" s="53"/>
      <c r="I64" s="53"/>
      <c r="J64" s="53"/>
      <c r="K64" s="53"/>
      <c r="L64" s="53"/>
      <c r="M64" s="53"/>
      <c r="N64" s="58"/>
    </row>
    <row r="65" spans="1:14" x14ac:dyDescent="0.25">
      <c r="A65" s="35"/>
      <c r="B65" s="53" t="s">
        <v>87</v>
      </c>
      <c r="C65" s="53">
        <f>585-5027*C5/C4+11700*(C5/C4)^2</f>
        <v>64.207302882638999</v>
      </c>
      <c r="D65" s="53" t="s">
        <v>88</v>
      </c>
      <c r="E65" s="53">
        <f>825-8060*C5/C4+20300*(C5/C4)^2</f>
        <v>36.826214046719201</v>
      </c>
      <c r="F65" s="53"/>
      <c r="G65" s="53"/>
      <c r="H65" s="53"/>
      <c r="I65" s="53"/>
      <c r="J65" s="53"/>
      <c r="K65" s="53"/>
      <c r="L65" s="53"/>
      <c r="M65" s="53"/>
      <c r="N65" s="58"/>
    </row>
    <row r="66" spans="1:14" x14ac:dyDescent="0.25">
      <c r="A66" s="35"/>
      <c r="B66" s="53" t="s">
        <v>89</v>
      </c>
      <c r="C66" s="42">
        <f>C63+C64/(C65*(0.98-C11)^3+1)</f>
        <v>0.47176057841555447</v>
      </c>
      <c r="D66" s="42" t="s">
        <v>90</v>
      </c>
      <c r="E66" s="42">
        <f>E63+E64/(E65*(0.98-C11)^3+1)</f>
        <v>0.28335625620592186</v>
      </c>
      <c r="F66" s="42"/>
      <c r="G66" s="42"/>
      <c r="H66" s="53"/>
      <c r="I66" s="53"/>
      <c r="J66" s="53"/>
      <c r="K66" s="53"/>
      <c r="L66" s="53"/>
      <c r="M66" s="53"/>
      <c r="N66" s="58"/>
    </row>
    <row r="67" spans="1:14" x14ac:dyDescent="0.25">
      <c r="A67" s="35"/>
      <c r="B67" s="53" t="s">
        <v>91</v>
      </c>
      <c r="C67" s="42">
        <f>0.025*C15/(100*(C11-0.7)^2+1)</f>
        <v>0</v>
      </c>
      <c r="D67" s="42" t="s">
        <v>92</v>
      </c>
      <c r="E67" s="42">
        <f>-0.01*C15</f>
        <v>0</v>
      </c>
      <c r="F67" s="42"/>
      <c r="G67" s="42"/>
      <c r="H67" s="53"/>
      <c r="I67" s="53"/>
      <c r="J67" s="53"/>
      <c r="K67" s="53"/>
      <c r="L67" s="53"/>
      <c r="M67" s="53"/>
      <c r="N67" s="58"/>
    </row>
    <row r="68" spans="1:14" x14ac:dyDescent="0.25">
      <c r="A68" s="35"/>
      <c r="B68" s="53" t="s">
        <v>93</v>
      </c>
      <c r="C68" s="42">
        <f>0.00756/(C18/C4+0.002)-0.18</f>
        <v>-1.6686165081056942E-2</v>
      </c>
      <c r="D68" s="42" t="s">
        <v>94</v>
      </c>
      <c r="E68" s="42">
        <f>2*(C18/C4-0.04)</f>
        <v>8.5824808872099062E-3</v>
      </c>
      <c r="F68" s="42"/>
      <c r="G68" s="42"/>
      <c r="H68" s="53"/>
      <c r="I68" s="53"/>
      <c r="J68" s="53"/>
      <c r="K68" s="53"/>
      <c r="L68" s="53"/>
      <c r="M68" s="53"/>
      <c r="N68" s="58"/>
    </row>
    <row r="69" spans="1:14" x14ac:dyDescent="0.25">
      <c r="A69" s="35"/>
      <c r="B69" s="53" t="s">
        <v>93</v>
      </c>
      <c r="C69" s="42">
        <f>MIN(0.1,C68)</f>
        <v>-1.6686165081056942E-2</v>
      </c>
      <c r="D69" s="42"/>
      <c r="E69" s="42"/>
      <c r="F69" s="42"/>
      <c r="G69" s="42"/>
      <c r="H69" s="53"/>
      <c r="I69" s="53"/>
      <c r="J69" s="53"/>
      <c r="K69" s="53"/>
      <c r="L69" s="53"/>
      <c r="M69" s="53"/>
      <c r="N69" s="58"/>
    </row>
    <row r="70" spans="1:14" x14ac:dyDescent="0.25">
      <c r="A70" s="35"/>
      <c r="B70" s="53" t="s">
        <v>95</v>
      </c>
      <c r="C70" s="76">
        <f>C66+C67+C69</f>
        <v>0.4550744133344975</v>
      </c>
      <c r="D70" s="42" t="s">
        <v>96</v>
      </c>
      <c r="E70" s="76">
        <f>E66+E67+E68</f>
        <v>0.29193873709313178</v>
      </c>
      <c r="F70" s="42" t="s">
        <v>97</v>
      </c>
      <c r="G70" s="76">
        <f>0.7*C11-0.2</f>
        <v>0.34733474102871281</v>
      </c>
      <c r="H70" s="53"/>
      <c r="I70" s="53"/>
      <c r="J70" s="53"/>
      <c r="K70" s="53"/>
      <c r="L70" s="53"/>
      <c r="M70" s="53"/>
      <c r="N70" s="58"/>
    </row>
    <row r="71" spans="1:14" x14ac:dyDescent="0.25">
      <c r="A71" s="35"/>
      <c r="B71" s="53" t="s">
        <v>98</v>
      </c>
      <c r="C71" s="76">
        <f>1.133*C11^2-0.797*C11+0.215</f>
        <v>0.2845118043042163</v>
      </c>
      <c r="D71" s="42" t="s">
        <v>99</v>
      </c>
      <c r="E71" s="76">
        <f>0.0665+0.62833*C71</f>
        <v>0.24526730199846825</v>
      </c>
      <c r="F71" s="42" t="s">
        <v>100</v>
      </c>
      <c r="G71" s="76">
        <f>0.2*C11+0.06</f>
        <v>0.21638135457963226</v>
      </c>
      <c r="H71" s="53"/>
      <c r="I71" s="53"/>
      <c r="J71" s="53"/>
      <c r="K71" s="53"/>
      <c r="L71" s="53"/>
      <c r="M71" s="53"/>
      <c r="N71" s="58"/>
    </row>
    <row r="72" spans="1:14" x14ac:dyDescent="0.25">
      <c r="A72" s="22" t="s">
        <v>101</v>
      </c>
      <c r="B72" s="53" t="s">
        <v>102</v>
      </c>
      <c r="C72" s="53">
        <f t="shared" ref="C72:N72" si="38">IF(C22&gt;$J9,0,IF($C17=1,0.2,0.1))</f>
        <v>0.2</v>
      </c>
      <c r="D72" s="53">
        <f t="shared" si="38"/>
        <v>0.2</v>
      </c>
      <c r="E72" s="53">
        <f t="shared" si="38"/>
        <v>0.2</v>
      </c>
      <c r="F72" s="53">
        <f t="shared" si="38"/>
        <v>0.2</v>
      </c>
      <c r="G72" s="53">
        <f t="shared" si="38"/>
        <v>0.2</v>
      </c>
      <c r="H72" s="53">
        <f t="shared" si="38"/>
        <v>0.2</v>
      </c>
      <c r="I72" s="53">
        <f t="shared" si="38"/>
        <v>0.2</v>
      </c>
      <c r="J72" s="53">
        <f t="shared" si="38"/>
        <v>0.2</v>
      </c>
      <c r="K72" s="53">
        <f t="shared" si="38"/>
        <v>0.2</v>
      </c>
      <c r="L72" s="53">
        <f t="shared" si="38"/>
        <v>0.2</v>
      </c>
      <c r="M72" s="53">
        <f t="shared" si="38"/>
        <v>0.2</v>
      </c>
      <c r="N72" s="53">
        <f t="shared" si="38"/>
        <v>0.2</v>
      </c>
    </row>
    <row r="73" spans="1:14" x14ac:dyDescent="0.25">
      <c r="A73" s="22"/>
      <c r="B73" s="59" t="s">
        <v>123</v>
      </c>
      <c r="C73" s="67">
        <f t="shared" ref="C73:N73" si="39">C22</f>
        <v>0.12</v>
      </c>
      <c r="D73" s="67">
        <f t="shared" si="39"/>
        <v>0.200555877516121</v>
      </c>
      <c r="E73" s="67">
        <f t="shared" si="39"/>
        <v>0.21041363441822353</v>
      </c>
      <c r="F73" s="67">
        <f t="shared" si="39"/>
        <v>0.22027139132032608</v>
      </c>
      <c r="G73" s="67">
        <f t="shared" si="39"/>
        <v>0.23012914822242861</v>
      </c>
      <c r="H73" s="67">
        <f t="shared" si="39"/>
        <v>0.23998690512453114</v>
      </c>
      <c r="I73" s="67">
        <f t="shared" si="39"/>
        <v>0.25970241892873619</v>
      </c>
      <c r="J73" s="67">
        <f t="shared" si="39"/>
        <v>0.27941793273294124</v>
      </c>
      <c r="K73" s="67">
        <f t="shared" si="39"/>
        <v>0.25468669016013873</v>
      </c>
      <c r="L73" s="67">
        <f t="shared" si="39"/>
        <v>0.25567246585034897</v>
      </c>
      <c r="M73" s="67">
        <f t="shared" si="39"/>
        <v>0.25665824154055922</v>
      </c>
      <c r="N73" s="67">
        <f t="shared" si="39"/>
        <v>0.32</v>
      </c>
    </row>
    <row r="74" spans="1:14" x14ac:dyDescent="0.25">
      <c r="A74" s="22"/>
      <c r="B74" s="59" t="s">
        <v>103</v>
      </c>
      <c r="C74" s="49">
        <f t="shared" ref="C74:N74" si="40">C22^2</f>
        <v>1.44E-2</v>
      </c>
      <c r="D74" s="49">
        <f t="shared" si="40"/>
        <v>4.0222660006261332E-2</v>
      </c>
      <c r="E74" s="49">
        <f t="shared" si="40"/>
        <v>4.4273897549085818E-2</v>
      </c>
      <c r="F74" s="49">
        <f t="shared" si="40"/>
        <v>4.8519485834192223E-2</v>
      </c>
      <c r="G74" s="49">
        <f t="shared" si="40"/>
        <v>5.2959424861580513E-2</v>
      </c>
      <c r="H74" s="49">
        <f t="shared" si="40"/>
        <v>5.7593714631250709E-2</v>
      </c>
      <c r="I74" s="49">
        <f t="shared" si="40"/>
        <v>6.7445346397436795E-2</v>
      </c>
      <c r="J74" s="49">
        <f t="shared" si="40"/>
        <v>7.8074381132750476E-2</v>
      </c>
      <c r="K74" s="49">
        <f t="shared" si="40"/>
        <v>6.4865310144726504E-2</v>
      </c>
      <c r="L74" s="49">
        <f t="shared" si="40"/>
        <v>6.5368409793997856E-2</v>
      </c>
      <c r="M74" s="49">
        <f t="shared" si="40"/>
        <v>6.5873452950692038E-2</v>
      </c>
      <c r="N74" s="49">
        <f t="shared" si="40"/>
        <v>0.1024</v>
      </c>
    </row>
    <row r="75" spans="1:14" x14ac:dyDescent="0.25">
      <c r="A75" s="22"/>
      <c r="B75" s="59" t="s">
        <v>104</v>
      </c>
      <c r="C75" s="49">
        <f t="shared" ref="C75:N75" si="41">C22^3</f>
        <v>1.7279999999999999E-3</v>
      </c>
      <c r="D75" s="49">
        <f t="shared" si="41"/>
        <v>8.0668908735883268E-3</v>
      </c>
      <c r="E75" s="49">
        <f t="shared" si="41"/>
        <v>9.3158316931632266E-3</v>
      </c>
      <c r="F75" s="49">
        <f t="shared" si="41"/>
        <v>1.0687454650844374E-2</v>
      </c>
      <c r="G75" s="49">
        <f t="shared" si="41"/>
        <v>1.2187507333745233E-2</v>
      </c>
      <c r="H75" s="49">
        <f t="shared" si="41"/>
        <v>1.3821737328979285E-2</v>
      </c>
      <c r="I75" s="49">
        <f t="shared" si="41"/>
        <v>1.7515719604900858E-2</v>
      </c>
      <c r="J75" s="49">
        <f t="shared" si="41"/>
        <v>2.181538217551689E-2</v>
      </c>
      <c r="K75" s="49">
        <f t="shared" si="41"/>
        <v>1.6520331146971264E-2</v>
      </c>
      <c r="L75" s="49">
        <f t="shared" si="41"/>
        <v>1.6712902520747534E-2</v>
      </c>
      <c r="M75" s="49">
        <f t="shared" si="41"/>
        <v>1.6906964598529379E-2</v>
      </c>
      <c r="N75" s="49">
        <f t="shared" si="41"/>
        <v>3.2768000000000005E-2</v>
      </c>
    </row>
    <row r="76" spans="1:14" x14ac:dyDescent="0.25">
      <c r="A76" s="22"/>
      <c r="B76" s="59" t="s">
        <v>105</v>
      </c>
      <c r="C76" s="49">
        <f t="shared" ref="C76:N76" si="42">C22^4</f>
        <v>2.0735999999999999E-4</v>
      </c>
      <c r="D76" s="49">
        <f t="shared" si="42"/>
        <v>1.6178623779792949E-3</v>
      </c>
      <c r="E76" s="49">
        <f t="shared" si="42"/>
        <v>1.9601780041869472E-3</v>
      </c>
      <c r="F76" s="49">
        <f t="shared" si="42"/>
        <v>2.35414050561438E-3</v>
      </c>
      <c r="G76" s="49">
        <f t="shared" si="42"/>
        <v>2.8047006816693922E-3</v>
      </c>
      <c r="H76" s="49">
        <f t="shared" si="42"/>
        <v>3.3170359650259418E-3</v>
      </c>
      <c r="I76" s="49">
        <f t="shared" si="42"/>
        <v>4.5488747506702409E-3</v>
      </c>
      <c r="J76" s="49">
        <f t="shared" si="42"/>
        <v>6.0956089892619837E-3</v>
      </c>
      <c r="K76" s="49">
        <f t="shared" si="42"/>
        <v>4.2075084601715593E-3</v>
      </c>
      <c r="L76" s="49">
        <f t="shared" si="42"/>
        <v>4.2730289989960351E-3</v>
      </c>
      <c r="M76" s="49">
        <f t="shared" si="42"/>
        <v>4.3393118036470371E-3</v>
      </c>
      <c r="N76" s="49">
        <f t="shared" si="42"/>
        <v>1.048576E-2</v>
      </c>
    </row>
    <row r="77" spans="1:14" x14ac:dyDescent="0.25">
      <c r="A77" s="22"/>
      <c r="B77" s="59" t="s">
        <v>106</v>
      </c>
      <c r="C77" s="49">
        <f t="shared" ref="C77:N77" si="43">C22^5</f>
        <v>2.4883199999999999E-5</v>
      </c>
      <c r="D77" s="49">
        <f t="shared" si="43"/>
        <v>3.2447180891595571E-4</v>
      </c>
      <c r="E77" s="49">
        <f t="shared" si="43"/>
        <v>4.124481779676353E-4</v>
      </c>
      <c r="F77" s="49">
        <f t="shared" si="43"/>
        <v>5.1854980453521545E-4</v>
      </c>
      <c r="G77" s="49">
        <f t="shared" si="43"/>
        <v>6.4544337889144209E-4</v>
      </c>
      <c r="H77" s="49">
        <f t="shared" si="43"/>
        <v>7.9604519543333824E-4</v>
      </c>
      <c r="I77" s="49">
        <f t="shared" si="43"/>
        <v>1.1813537761529132E-3</v>
      </c>
      <c r="J77" s="49">
        <f t="shared" si="43"/>
        <v>1.7032224625279169E-3</v>
      </c>
      <c r="K77" s="49">
        <f t="shared" si="43"/>
        <v>1.0715964035418763E-3</v>
      </c>
      <c r="L77" s="49">
        <f t="shared" si="43"/>
        <v>1.0924958608233646E-3</v>
      </c>
      <c r="M77" s="49">
        <f t="shared" si="43"/>
        <v>1.113720137020241E-3</v>
      </c>
      <c r="N77" s="49">
        <f t="shared" si="43"/>
        <v>3.3554432000000001E-3</v>
      </c>
    </row>
    <row r="78" spans="1:14" x14ac:dyDescent="0.25">
      <c r="A78" s="176"/>
      <c r="B78" s="177" t="s">
        <v>258</v>
      </c>
      <c r="C78" s="178">
        <f>C22^6</f>
        <v>2.9859839999999999E-6</v>
      </c>
      <c r="D78" s="178">
        <f t="shared" ref="D78:N78" si="44">D22^6</f>
        <v>6.5074728366382636E-5</v>
      </c>
      <c r="E78" s="178">
        <f t="shared" si="44"/>
        <v>8.678472013534441E-5</v>
      </c>
      <c r="F78" s="178">
        <f t="shared" si="44"/>
        <v>1.1422168691385502E-4</v>
      </c>
      <c r="G78" s="178">
        <f t="shared" si="44"/>
        <v>1.4853533501009382E-4</v>
      </c>
      <c r="H78" s="178">
        <f t="shared" si="44"/>
        <v>1.9104042279129941E-4</v>
      </c>
      <c r="I78" s="178">
        <f t="shared" si="44"/>
        <v>3.068004332775083E-4</v>
      </c>
      <c r="J78" s="178">
        <f t="shared" si="44"/>
        <v>4.7591089946386002E-4</v>
      </c>
      <c r="K78" s="178">
        <f t="shared" si="44"/>
        <v>2.7292134120558882E-4</v>
      </c>
      <c r="L78" s="178">
        <f t="shared" si="44"/>
        <v>2.7932111066800928E-4</v>
      </c>
      <c r="M78" s="178">
        <f t="shared" si="44"/>
        <v>2.8584545193592571E-4</v>
      </c>
      <c r="N78" s="178">
        <f t="shared" si="44"/>
        <v>1.073741824E-3</v>
      </c>
    </row>
    <row r="79" spans="1:14" x14ac:dyDescent="0.25">
      <c r="A79" s="75" t="s">
        <v>228</v>
      </c>
      <c r="B79" s="161" t="s">
        <v>210</v>
      </c>
      <c r="C79" s="162">
        <f xml:space="preserve"> 81963.95967*C77 - 69372.12684*C76 + 23700.28578*C75 - 4016.65661*C74 + 339.10948*C73 - 10.91</f>
        <v>0.55189762355814054</v>
      </c>
      <c r="D79" s="162">
        <f xml:space="preserve"> 81963.95967*D77 - 69372.12684*D76 + 23700.28578*D75 - 4016.65661*D74 + 339.10948*D73 - 10.91</f>
        <v>1.087845374816137</v>
      </c>
      <c r="E79" s="162">
        <f t="shared" ref="E79:N79" si="45" xml:space="preserve"> 81963.95967*E77 - 69372.12684*E76 + 23700.28578*E75 - 4016.65661*E74 + 339.10948*E73 - 10.91</f>
        <v>1.2222570072945409</v>
      </c>
      <c r="F79" s="162">
        <f t="shared" si="45"/>
        <v>1.3863944767527805</v>
      </c>
      <c r="G79" s="162">
        <f t="shared" si="45"/>
        <v>1.5916022498159741</v>
      </c>
      <c r="H79" s="162">
        <f t="shared" si="45"/>
        <v>1.8539613037990925</v>
      </c>
      <c r="I79" s="162">
        <f t="shared" si="45"/>
        <v>2.6436331769910133</v>
      </c>
      <c r="J79" s="162">
        <f t="shared" si="45"/>
        <v>4.0135800404393187</v>
      </c>
      <c r="K79" s="162">
        <f t="shared" si="45"/>
        <v>2.4000374970930629</v>
      </c>
      <c r="L79" s="162">
        <f t="shared" si="45"/>
        <v>2.4452445823952864</v>
      </c>
      <c r="M79" s="162">
        <f t="shared" si="45"/>
        <v>2.4917188195839337</v>
      </c>
      <c r="N79" s="162">
        <f t="shared" si="45"/>
        <v>10.516299561017544</v>
      </c>
    </row>
    <row r="80" spans="1:14" x14ac:dyDescent="0.25">
      <c r="A80" s="75" t="s">
        <v>229</v>
      </c>
      <c r="B80" s="161" t="s">
        <v>107</v>
      </c>
      <c r="C80" s="162">
        <f t="shared" ref="C80:N80" si="46" xml:space="preserve"> 211855.99746*C77 - 178462.85551*C76 + 59866.35075*C75 - 9901.7271*C74 + 808.21686*C73 - 25.47</f>
        <v>0.64580449344308022</v>
      </c>
      <c r="D80" s="162">
        <f t="shared" si="46"/>
        <v>1.2971163919089577</v>
      </c>
      <c r="E80" s="162">
        <f t="shared" si="46"/>
        <v>1.4672996059516947</v>
      </c>
      <c r="F80" s="162">
        <f t="shared" si="46"/>
        <v>1.6805023992246504</v>
      </c>
      <c r="G80" s="162">
        <f t="shared" si="46"/>
        <v>1.9622323661057521</v>
      </c>
      <c r="H80" s="162">
        <f t="shared" si="46"/>
        <v>2.3504316118592783</v>
      </c>
      <c r="I80" s="162">
        <f t="shared" si="46"/>
        <v>3.6743781123092276</v>
      </c>
      <c r="J80" s="162">
        <f t="shared" si="46"/>
        <v>6.2944972070279732</v>
      </c>
      <c r="K80" s="162">
        <f t="shared" si="46"/>
        <v>3.2455672080217823</v>
      </c>
      <c r="L80" s="162">
        <f t="shared" si="46"/>
        <v>3.3239706323090275</v>
      </c>
      <c r="M80" s="162">
        <f t="shared" si="46"/>
        <v>3.4051516845951539</v>
      </c>
      <c r="N80" s="162">
        <f t="shared" si="46"/>
        <v>20.475215799836889</v>
      </c>
    </row>
    <row r="81" spans="1:14" x14ac:dyDescent="0.25">
      <c r="A81" s="75" t="s">
        <v>230</v>
      </c>
      <c r="B81" s="161" t="s">
        <v>108</v>
      </c>
      <c r="C81" s="162">
        <f t="shared" ref="C81:N81" si="47" xml:space="preserve"> 189330.79305*C77 - 133987.07846*C76 + 36767.07838*C75 - 4746.53331*C74 + 281.6148*C73 - 5.18</f>
        <v>0.72480317679617201</v>
      </c>
      <c r="D81" s="162">
        <f t="shared" si="47"/>
        <v>1.6371683597634004</v>
      </c>
      <c r="E81" s="162">
        <f t="shared" si="47"/>
        <v>1.8945947151956446</v>
      </c>
      <c r="F81" s="162">
        <f t="shared" si="47"/>
        <v>2.2518480435762882</v>
      </c>
      <c r="G81" s="162">
        <f t="shared" si="47"/>
        <v>2.7617937662673953</v>
      </c>
      <c r="H81" s="162">
        <f t="shared" si="47"/>
        <v>3.4941891222147134</v>
      </c>
      <c r="I81" s="162">
        <f t="shared" si="47"/>
        <v>6.0025062705793104</v>
      </c>
      <c r="J81" s="162">
        <f t="shared" si="47"/>
        <v>10.753060540907192</v>
      </c>
      <c r="K81" s="162">
        <f t="shared" si="47"/>
        <v>5.1969269289227853</v>
      </c>
      <c r="L81" s="162">
        <f t="shared" si="47"/>
        <v>5.3448487478289834</v>
      </c>
      <c r="M81" s="162">
        <f t="shared" si="47"/>
        <v>5.4977189267708368</v>
      </c>
      <c r="N81" s="162">
        <f t="shared" si="47"/>
        <v>34.007723669340471</v>
      </c>
    </row>
    <row r="82" spans="1:14" x14ac:dyDescent="0.25">
      <c r="A82" s="75" t="s">
        <v>231</v>
      </c>
      <c r="B82" s="161" t="s">
        <v>109</v>
      </c>
      <c r="C82" s="162">
        <f t="shared" ref="C82:N82" si="48" xml:space="preserve"> -183277.76453*C77 + 217604.57034*C76 - 91711.5592*C75 + 18157.61937*C74 - 1715.03079*C73 + 63.08</f>
        <v>0.83039626574954184</v>
      </c>
      <c r="D82" s="162">
        <f t="shared" si="48"/>
        <v>2.2268853122767069</v>
      </c>
      <c r="E82" s="162">
        <f t="shared" si="48"/>
        <v>2.7043805834831716</v>
      </c>
      <c r="F82" s="162">
        <f t="shared" si="48"/>
        <v>3.3760918981669903</v>
      </c>
      <c r="G82" s="162">
        <f t="shared" si="48"/>
        <v>4.303470626604863</v>
      </c>
      <c r="H82" s="162">
        <f t="shared" si="48"/>
        <v>5.5515376876649754</v>
      </c>
      <c r="I82" s="162">
        <f t="shared" si="48"/>
        <v>9.275384424423649</v>
      </c>
      <c r="J82" s="162">
        <f t="shared" si="48"/>
        <v>15.061393020704841</v>
      </c>
      <c r="K82" s="162">
        <f t="shared" si="48"/>
        <v>8.152045866060817</v>
      </c>
      <c r="L82" s="162">
        <f t="shared" si="48"/>
        <v>8.3626440845626604</v>
      </c>
      <c r="M82" s="162">
        <f t="shared" si="48"/>
        <v>8.5781574254110211</v>
      </c>
      <c r="N82" s="162">
        <f t="shared" si="48"/>
        <v>35.17716960736864</v>
      </c>
    </row>
    <row r="83" spans="1:14" x14ac:dyDescent="0.25">
      <c r="A83" s="75" t="s">
        <v>232</v>
      </c>
      <c r="B83" s="161" t="s">
        <v>211</v>
      </c>
      <c r="C83" s="162">
        <f xml:space="preserve"> 108656.82305*C77 - 92884.66951*C76 + 31771.52118*C75 - 5373.60627*C74 + 450.34486*C73 - 14.5</f>
        <v>0.50580590076415888</v>
      </c>
      <c r="D83" s="162">
        <f xml:space="preserve"> 108656.82305*D77 - 92884.66951*D76 + 31771.52118*D75 - 5373.60627*D74 + 450.34486*D73 - 14.5</f>
        <v>0.95742845823563982</v>
      </c>
      <c r="E83" s="162">
        <f t="shared" ref="E83:N83" si="49" xml:space="preserve"> 108656.82305*E77 - 92884.66951*E76 + 31771.52118*E75 - 5373.60627*E74 + 450.34486*E73 - 14.5</f>
        <v>1.0711718067598213</v>
      </c>
      <c r="F83" s="162">
        <f t="shared" si="49"/>
        <v>1.2105788998564577</v>
      </c>
      <c r="G83" s="162">
        <f t="shared" si="49"/>
        <v>1.3881600495262205</v>
      </c>
      <c r="H83" s="162">
        <f t="shared" si="49"/>
        <v>1.6224960029069848</v>
      </c>
      <c r="I83" s="162">
        <f t="shared" si="49"/>
        <v>2.3733899770909801</v>
      </c>
      <c r="J83" s="162">
        <f t="shared" si="49"/>
        <v>3.7794379519140904</v>
      </c>
      <c r="K83" s="162">
        <f t="shared" si="49"/>
        <v>2.1354834785470587</v>
      </c>
      <c r="L83" s="162">
        <f t="shared" si="49"/>
        <v>2.1792635814284438</v>
      </c>
      <c r="M83" s="162">
        <f t="shared" si="49"/>
        <v>2.2244529565598157</v>
      </c>
      <c r="N83" s="162">
        <f t="shared" si="49"/>
        <v>11.067725053788109</v>
      </c>
    </row>
    <row r="84" spans="1:14" x14ac:dyDescent="0.25">
      <c r="A84" s="75" t="s">
        <v>233</v>
      </c>
      <c r="B84" s="161" t="s">
        <v>110</v>
      </c>
      <c r="C84" s="162">
        <f t="shared" ref="C84:N84" si="50" xml:space="preserve"> 236068.11145*C77 - 206198.08468*C76 + 71647.62804*C75 - 12274.26804*C74 + 1036.91016*C73 - 34.06</f>
        <v>0.54375586870779102</v>
      </c>
      <c r="D84" s="162">
        <f t="shared" si="50"/>
        <v>1.1656371300628621</v>
      </c>
      <c r="E84" s="162">
        <f t="shared" si="50"/>
        <v>1.3285060214050475</v>
      </c>
      <c r="F84" s="162">
        <f t="shared" si="50"/>
        <v>1.5250545676922229</v>
      </c>
      <c r="G84" s="162">
        <f t="shared" si="50"/>
        <v>1.7757589335439832</v>
      </c>
      <c r="H84" s="162">
        <f t="shared" si="50"/>
        <v>2.1132875124019961</v>
      </c>
      <c r="I84" s="162">
        <f t="shared" si="50"/>
        <v>3.2562739891955061</v>
      </c>
      <c r="J84" s="162">
        <f t="shared" si="50"/>
        <v>5.5594114825370866</v>
      </c>
      <c r="K84" s="162">
        <f t="shared" si="50"/>
        <v>2.8851080040103056</v>
      </c>
      <c r="L84" s="162">
        <f t="shared" si="50"/>
        <v>2.9528568441201628</v>
      </c>
      <c r="M84" s="162">
        <f t="shared" si="50"/>
        <v>3.0230575937658841</v>
      </c>
      <c r="N84" s="162">
        <f t="shared" si="50"/>
        <v>18.585190406308016</v>
      </c>
    </row>
    <row r="85" spans="1:14" x14ac:dyDescent="0.25">
      <c r="A85" s="75" t="s">
        <v>234</v>
      </c>
      <c r="B85" s="161" t="s">
        <v>111</v>
      </c>
      <c r="C85" s="162">
        <f t="shared" ref="C85:N85" si="51" xml:space="preserve"> 153905.69184*C77 - 114943.493048*C76 + 33802.921153*C75 - 4780.049092*C74 + 322.837994*C73 - 7.67</f>
        <v>0.64428350034379811</v>
      </c>
      <c r="D85" s="162">
        <f t="shared" si="51"/>
        <v>1.4705491291241106</v>
      </c>
      <c r="E85" s="162">
        <f t="shared" si="51"/>
        <v>1.6988514467864793</v>
      </c>
      <c r="F85" s="162">
        <f t="shared" si="51"/>
        <v>1.9982703715486299</v>
      </c>
      <c r="G85" s="162">
        <f t="shared" si="51"/>
        <v>2.4044477714647758</v>
      </c>
      <c r="H85" s="162">
        <f t="shared" si="51"/>
        <v>2.9653909907691247</v>
      </c>
      <c r="I85" s="162">
        <f t="shared" si="51"/>
        <v>4.8157468464505957</v>
      </c>
      <c r="J85" s="162">
        <f t="shared" si="51"/>
        <v>8.2460358228493238</v>
      </c>
      <c r="K85" s="162">
        <f t="shared" si="51"/>
        <v>4.2276908919576801</v>
      </c>
      <c r="L85" s="162">
        <f t="shared" si="51"/>
        <v>4.3359565138337519</v>
      </c>
      <c r="M85" s="162">
        <f t="shared" si="51"/>
        <v>4.4476962079445901</v>
      </c>
      <c r="N85" s="162">
        <f t="shared" si="51"/>
        <v>24.967176863531179</v>
      </c>
    </row>
    <row r="86" spans="1:14" x14ac:dyDescent="0.25">
      <c r="A86" s="75" t="s">
        <v>235</v>
      </c>
      <c r="B86" s="161" t="s">
        <v>112</v>
      </c>
      <c r="C86" s="162">
        <f t="shared" ref="C86:N86" si="52">-9980220.15991*C78 + 10826099.46985*C77 - 4792166.95182*C76 + 1110018.19846*C75 - 141933.11234*C74 + 9505.46225*C73 - 260.06</f>
        <v>0.75358072768784723</v>
      </c>
      <c r="D86" s="162">
        <f t="shared" si="52"/>
        <v>2.0220183348944261</v>
      </c>
      <c r="E86" s="162">
        <f t="shared" si="52"/>
        <v>2.4036335052211939</v>
      </c>
      <c r="F86" s="162">
        <f t="shared" si="52"/>
        <v>2.9487696069926983</v>
      </c>
      <c r="G86" s="162">
        <f t="shared" si="52"/>
        <v>3.7078276993988197</v>
      </c>
      <c r="H86" s="162">
        <f t="shared" si="52"/>
        <v>4.7001275836386753</v>
      </c>
      <c r="I86" s="162">
        <f t="shared" si="52"/>
        <v>7.1215052043993978</v>
      </c>
      <c r="J86" s="162">
        <f t="shared" si="52"/>
        <v>8.4522204608001061</v>
      </c>
      <c r="K86" s="162">
        <f t="shared" si="52"/>
        <v>6.4987772488843234</v>
      </c>
      <c r="L86" s="162">
        <f t="shared" si="52"/>
        <v>6.6233955825595672</v>
      </c>
      <c r="M86" s="162">
        <f t="shared" si="52"/>
        <v>6.7472371742905466</v>
      </c>
      <c r="N86" s="162">
        <f t="shared" si="52"/>
        <v>-18.516942986341803</v>
      </c>
    </row>
    <row r="87" spans="1:14" x14ac:dyDescent="0.25">
      <c r="A87" s="75" t="s">
        <v>236</v>
      </c>
      <c r="B87" s="161" t="s">
        <v>212</v>
      </c>
      <c r="C87" s="162">
        <f xml:space="preserve"> 12205.28697*C77 - 8294.72385*C76 + 2539.32664*C75 - 405.17899*C74 + 34.1222*C73 - 0.78</f>
        <v>0.45175563711590416</v>
      </c>
      <c r="D87" s="162">
        <f t="shared" ref="D87:N87" si="53" xml:space="preserve"> 12205.28697*D77 - 8294.72385*D76 + 2539.32664*D75 - 405.17899*D74 + 34.1222*D73 - 0.78</f>
        <v>0.7910517934576069</v>
      </c>
      <c r="E87" s="162">
        <f t="shared" si="53"/>
        <v>0.89177574702287843</v>
      </c>
      <c r="F87" s="162">
        <f t="shared" si="53"/>
        <v>1.0181102863931939</v>
      </c>
      <c r="G87" s="162">
        <f t="shared" si="53"/>
        <v>1.1761326187560395</v>
      </c>
      <c r="H87" s="162">
        <f t="shared" si="53"/>
        <v>1.3730865809066171</v>
      </c>
      <c r="I87" s="162">
        <f t="shared" si="53"/>
        <v>1.9194159231437713</v>
      </c>
      <c r="J87" s="162">
        <f t="shared" si="53"/>
        <v>2.7435624775257983</v>
      </c>
      <c r="K87" s="162">
        <f t="shared" si="53"/>
        <v>1.7579471592178486</v>
      </c>
      <c r="L87" s="162">
        <f t="shared" si="53"/>
        <v>1.7883493038302902</v>
      </c>
      <c r="M87" s="162">
        <f t="shared" si="53"/>
        <v>1.8193910880060724</v>
      </c>
      <c r="N87" s="162">
        <f t="shared" si="53"/>
        <v>5.8350943736791239</v>
      </c>
    </row>
    <row r="88" spans="1:14" x14ac:dyDescent="0.25">
      <c r="A88" s="75" t="s">
        <v>237</v>
      </c>
      <c r="B88" s="161" t="s">
        <v>113</v>
      </c>
      <c r="C88" s="162">
        <f t="shared" ref="C88:N88" si="54" xml:space="preserve"> 78193.22061*C77 - 62747.6239*C76 + 20041.29771*C75 - 3113.11297*C74 + 235.21739*C73 - 6.47</f>
        <v>0.49297273005874853</v>
      </c>
      <c r="D88" s="162">
        <f t="shared" si="54"/>
        <v>1.0119828176615036</v>
      </c>
      <c r="E88" s="162">
        <f t="shared" si="54"/>
        <v>1.1487967809367055</v>
      </c>
      <c r="F88" s="162">
        <f t="shared" si="54"/>
        <v>1.315837738824384</v>
      </c>
      <c r="G88" s="162">
        <f t="shared" si="54"/>
        <v>1.5261609973303001</v>
      </c>
      <c r="H88" s="162">
        <f t="shared" si="54"/>
        <v>1.7981185138667461</v>
      </c>
      <c r="I88" s="162">
        <f t="shared" si="54"/>
        <v>2.6320681417210769</v>
      </c>
      <c r="J88" s="162">
        <f t="shared" si="54"/>
        <v>4.1036266251934128</v>
      </c>
      <c r="K88" s="162">
        <f t="shared" si="54"/>
        <v>2.3729905689421136</v>
      </c>
      <c r="L88" s="162">
        <f t="shared" si="54"/>
        <v>2.4209740888007607</v>
      </c>
      <c r="M88" s="162">
        <f t="shared" si="54"/>
        <v>2.4703511609818198</v>
      </c>
      <c r="N88" s="162">
        <f t="shared" si="54"/>
        <v>11.146425629540445</v>
      </c>
    </row>
    <row r="89" spans="1:14" x14ac:dyDescent="0.25">
      <c r="A89" s="75" t="s">
        <v>238</v>
      </c>
      <c r="B89" s="161" t="s">
        <v>114</v>
      </c>
      <c r="C89" s="162">
        <f t="shared" ref="C89:N89" si="55" xml:space="preserve"> 112229.10217*C77 - 90275.82325*C76 + 29064.78003*C75 - 4576.65461*C74 + 352.54132*C73 - 10.15</f>
        <v>0.54809639383654307</v>
      </c>
      <c r="D89" s="162">
        <f t="shared" si="55"/>
        <v>1.2927419328623753</v>
      </c>
      <c r="E89" s="162">
        <f t="shared" si="55"/>
        <v>1.4977677218398124</v>
      </c>
      <c r="F89" s="162">
        <f t="shared" si="55"/>
        <v>1.7507638467177795</v>
      </c>
      <c r="G89" s="162">
        <f t="shared" si="55"/>
        <v>2.0711254254436877</v>
      </c>
      <c r="H89" s="162">
        <f t="shared" si="55"/>
        <v>2.4858009180522824</v>
      </c>
      <c r="I89" s="162">
        <f t="shared" si="55"/>
        <v>3.7511761119417084</v>
      </c>
      <c r="J89" s="162">
        <f t="shared" si="55"/>
        <v>5.9611827545826994</v>
      </c>
      <c r="K89" s="162">
        <f t="shared" si="55"/>
        <v>3.3592642267998993</v>
      </c>
      <c r="L89" s="162">
        <f t="shared" si="55"/>
        <v>3.4319289239840511</v>
      </c>
      <c r="M89" s="162">
        <f t="shared" si="55"/>
        <v>3.5066658031908329</v>
      </c>
      <c r="N89" s="162">
        <f t="shared" si="55"/>
        <v>16.376263675551918</v>
      </c>
    </row>
    <row r="90" spans="1:14" x14ac:dyDescent="0.25">
      <c r="A90" s="75" t="s">
        <v>239</v>
      </c>
      <c r="B90" s="161" t="s">
        <v>115</v>
      </c>
      <c r="C90" s="162">
        <f t="shared" ref="C90:N90" si="56" xml:space="preserve"> -6333849.33191*C78 + 7003086.05505*C77 - 3170231.50477*C76 + 753388.16765*C75 - 99065.81153*C74 + 6833.52117*C73 - 192.64</f>
        <v>0.65682139961882058</v>
      </c>
      <c r="D90" s="162">
        <f t="shared" si="56"/>
        <v>1.8047076804729159</v>
      </c>
      <c r="E90" s="162">
        <f t="shared" si="56"/>
        <v>2.1444824813846708</v>
      </c>
      <c r="F90" s="162">
        <f t="shared" si="56"/>
        <v>2.5844048789548424</v>
      </c>
      <c r="G90" s="162">
        <f t="shared" si="56"/>
        <v>3.1524536708576534</v>
      </c>
      <c r="H90" s="162">
        <f t="shared" si="56"/>
        <v>3.8607120223729225</v>
      </c>
      <c r="I90" s="162">
        <f t="shared" si="56"/>
        <v>5.5582917582315758</v>
      </c>
      <c r="J90" s="162">
        <f t="shared" si="56"/>
        <v>6.6911206286437164</v>
      </c>
      <c r="K90" s="162">
        <f t="shared" si="56"/>
        <v>5.1176096866255421</v>
      </c>
      <c r="L90" s="162">
        <f t="shared" si="56"/>
        <v>5.2051940514860462</v>
      </c>
      <c r="M90" s="162">
        <f t="shared" si="56"/>
        <v>5.2924786670497497</v>
      </c>
      <c r="N90" s="162">
        <f t="shared" si="56"/>
        <v>-7.9770043277518425</v>
      </c>
    </row>
    <row r="91" spans="1:14" x14ac:dyDescent="0.25">
      <c r="A91" s="75" t="s">
        <v>240</v>
      </c>
      <c r="B91" s="161" t="s">
        <v>213</v>
      </c>
      <c r="C91" s="162">
        <f xml:space="preserve"> 53881.87664*C77 - 47719.69516*C76 + 17198.62503*C75 - 3090.1397*C74 + 275.82793*C73 - 9.37</f>
        <v>0.39616149627084063</v>
      </c>
      <c r="D91" s="162">
        <f t="shared" ref="D91:N91" si="57" xml:space="preserve"> 53881.87664*D77 - 47719.69516*D76 + 17198.62503*D75 - 3090.1397*D74 + 275.82793*D73 - 9.37</f>
        <v>0.67395580559207069</v>
      </c>
      <c r="E91" s="162">
        <f t="shared" si="57"/>
        <v>0.7593098950034527</v>
      </c>
      <c r="F91" s="162">
        <f t="shared" si="57"/>
        <v>0.86610687921854712</v>
      </c>
      <c r="G91" s="162">
        <f t="shared" si="57"/>
        <v>1.0006329916038847</v>
      </c>
      <c r="H91" s="162">
        <f t="shared" si="57"/>
        <v>1.1718087337850331</v>
      </c>
      <c r="I91" s="162">
        <f t="shared" si="57"/>
        <v>1.6765737733087942</v>
      </c>
      <c r="J91" s="162">
        <f t="shared" si="57"/>
        <v>2.5273230564924685</v>
      </c>
      <c r="K91" s="162">
        <f t="shared" si="57"/>
        <v>1.5224174035820734</v>
      </c>
      <c r="L91" s="162">
        <f t="shared" si="57"/>
        <v>1.5511183611388244</v>
      </c>
      <c r="M91" s="162">
        <f t="shared" si="57"/>
        <v>1.58057842833019</v>
      </c>
      <c r="N91" s="162">
        <f t="shared" si="57"/>
        <v>6.4494831570452842</v>
      </c>
    </row>
    <row r="92" spans="1:14" x14ac:dyDescent="0.25">
      <c r="A92" s="75" t="s">
        <v>241</v>
      </c>
      <c r="B92" s="161" t="s">
        <v>116</v>
      </c>
      <c r="C92" s="162">
        <f t="shared" ref="C92:N92" si="58" xml:space="preserve"> -13296.8167*C77 + 17338.63401*C76 - 7542.52455*C75 + 1552.59022*C74 - 152.78609*C73 + 6.19</f>
        <v>0.4439577446041616</v>
      </c>
      <c r="D92" s="162">
        <f t="shared" si="58"/>
        <v>0.88951922254693638</v>
      </c>
      <c r="E92" s="162">
        <f t="shared" si="58"/>
        <v>1.0186157895562102</v>
      </c>
      <c r="F92" s="162">
        <f t="shared" si="58"/>
        <v>1.1786044201359642</v>
      </c>
      <c r="G92" s="162">
        <f t="shared" si="58"/>
        <v>1.3765154046159322</v>
      </c>
      <c r="H92" s="162">
        <f t="shared" si="58"/>
        <v>1.6199896042941857</v>
      </c>
      <c r="I92" s="162">
        <f t="shared" si="58"/>
        <v>2.2763527584712007</v>
      </c>
      <c r="J92" s="162">
        <f t="shared" si="58"/>
        <v>3.2153879839665107</v>
      </c>
      <c r="K92" s="162">
        <f t="shared" si="58"/>
        <v>2.0852876638174349</v>
      </c>
      <c r="L92" s="162">
        <f t="shared" si="58"/>
        <v>2.1214485215167072</v>
      </c>
      <c r="M92" s="162">
        <f t="shared" si="58"/>
        <v>2.1582807688801848</v>
      </c>
      <c r="N92" s="162">
        <f t="shared" si="58"/>
        <v>6.3222870526361516</v>
      </c>
    </row>
    <row r="93" spans="1:14" x14ac:dyDescent="0.25">
      <c r="A93" s="75" t="s">
        <v>242</v>
      </c>
      <c r="B93" s="161" t="s">
        <v>117</v>
      </c>
      <c r="C93" s="162">
        <f t="shared" ref="C93:N93" si="59" xml:space="preserve"> 57255.69581*C77 - 44678.74747*C76 + 14023.41918*C75 - 2111.06396*C74 + 151.68701*C73 - 3.73</f>
        <v>0.46570837364019413</v>
      </c>
      <c r="D93" s="162">
        <f t="shared" si="59"/>
        <v>1.1983002467022499</v>
      </c>
      <c r="E93" s="162">
        <f t="shared" si="59"/>
        <v>1.3985077968695454</v>
      </c>
      <c r="F93" s="162">
        <f t="shared" si="59"/>
        <v>1.6391080832179239</v>
      </c>
      <c r="G93" s="162">
        <f t="shared" si="59"/>
        <v>1.9321896196733346</v>
      </c>
      <c r="H93" s="162">
        <f t="shared" si="59"/>
        <v>2.294006487507215</v>
      </c>
      <c r="I93" s="162">
        <f t="shared" si="59"/>
        <v>3.3135278201425504</v>
      </c>
      <c r="J93" s="162">
        <f t="shared" si="59"/>
        <v>4.9353198713205337</v>
      </c>
      <c r="K93" s="162">
        <f t="shared" si="59"/>
        <v>3.0081624252116055</v>
      </c>
      <c r="L93" s="162">
        <f t="shared" si="59"/>
        <v>3.0653627113238895</v>
      </c>
      <c r="M93" s="162">
        <f t="shared" si="59"/>
        <v>3.1239055467477255</v>
      </c>
      <c r="N93" s="162">
        <f t="shared" si="59"/>
        <v>11.783905482145865</v>
      </c>
    </row>
    <row r="94" spans="1:14" x14ac:dyDescent="0.25">
      <c r="A94" s="75" t="s">
        <v>243</v>
      </c>
      <c r="B94" s="161" t="s">
        <v>118</v>
      </c>
      <c r="C94" s="162">
        <f t="shared" ref="C94:N94" si="60" xml:space="preserve"> 143089.62452*C77 - 117343.50532*C76 + 38649.35375*C75 - 6217.22547*C74 + 488.33352*C73 - 14.52</f>
        <v>0.56623739370087023</v>
      </c>
      <c r="D94" s="162">
        <f t="shared" si="60"/>
        <v>1.7078371456877299</v>
      </c>
      <c r="E94" s="162">
        <f t="shared" si="60"/>
        <v>2.0249986945134388</v>
      </c>
      <c r="F94" s="162">
        <f t="shared" si="60"/>
        <v>2.4085341279500589</v>
      </c>
      <c r="G94" s="162">
        <f t="shared" si="60"/>
        <v>2.8812155267461854</v>
      </c>
      <c r="H94" s="162">
        <f t="shared" si="60"/>
        <v>3.4749367901988215</v>
      </c>
      <c r="I94" s="162">
        <f t="shared" si="60"/>
        <v>5.2082738782085691</v>
      </c>
      <c r="J94" s="162">
        <f t="shared" si="60"/>
        <v>8.1068713796197578</v>
      </c>
      <c r="K94" s="162">
        <f t="shared" si="60"/>
        <v>4.6804477579457675</v>
      </c>
      <c r="L94" s="162">
        <f t="shared" si="60"/>
        <v>4.7787960634418134</v>
      </c>
      <c r="M94" s="162">
        <f t="shared" si="60"/>
        <v>4.8797071641054082</v>
      </c>
      <c r="N94" s="162">
        <f t="shared" si="60"/>
        <v>21.258135193944394</v>
      </c>
    </row>
    <row r="95" spans="1:14" x14ac:dyDescent="0.25">
      <c r="A95" s="75" t="s">
        <v>244</v>
      </c>
      <c r="B95" s="161" t="s">
        <v>214</v>
      </c>
      <c r="C95" s="162">
        <f xml:space="preserve"> 30265.1424899999*C77 - 26816.90085*C76 + 9821.16503*C75 - 1803.67859*C74 + 165.46921*C73 - 5.71</f>
        <v>0.33664770919116993</v>
      </c>
      <c r="D95" s="162">
        <f xml:space="preserve"> 30265.1424899999*D77 - 26816.90085*D76 + 9821.16503*D75 - 1803.67859*D74 + 165.46921*D73 - 5.71</f>
        <v>0.58746902743175244</v>
      </c>
      <c r="E95" s="162">
        <f t="shared" ref="E95:N95" si="61" xml:space="preserve"> 30265.1424899999*E77 - 26816.90085*E76 + 9821.16503*E75 - 1803.67859*E74 + 165.46921*E73 - 5.71</f>
        <v>0.6603208948321333</v>
      </c>
      <c r="F95" s="162">
        <f t="shared" si="61"/>
        <v>0.75106238340823328</v>
      </c>
      <c r="G95" s="162">
        <f t="shared" si="61"/>
        <v>0.86408415895988444</v>
      </c>
      <c r="H95" s="162">
        <f t="shared" si="61"/>
        <v>1.0052535898464976</v>
      </c>
      <c r="I95" s="162">
        <f t="shared" si="61"/>
        <v>1.4049168605493927</v>
      </c>
      <c r="J95" s="162">
        <f t="shared" si="61"/>
        <v>2.039372085951336</v>
      </c>
      <c r="K95" s="162">
        <f t="shared" si="61"/>
        <v>1.2852134642233404</v>
      </c>
      <c r="L95" s="162">
        <f t="shared" si="61"/>
        <v>1.3076414240963254</v>
      </c>
      <c r="M95" s="162">
        <f t="shared" si="61"/>
        <v>1.3305934549572109</v>
      </c>
      <c r="N95" s="162">
        <f t="shared" si="61"/>
        <v>4.7207755952452795</v>
      </c>
    </row>
    <row r="96" spans="1:14" x14ac:dyDescent="0.25">
      <c r="A96" s="75" t="s">
        <v>245</v>
      </c>
      <c r="B96" s="161" t="s">
        <v>119</v>
      </c>
      <c r="C96" s="162">
        <f t="shared" ref="C96:N96" si="62" xml:space="preserve"> 54477.25649*C77 - 47053.5012*C76 + 16421.96104*C75 - 2825.53995*C74 + 239.64014*C73 - 7.66</f>
        <v>0.38474465697996862</v>
      </c>
      <c r="D96" s="162">
        <f t="shared" si="62"/>
        <v>0.77491807723169259</v>
      </c>
      <c r="E96" s="162">
        <f t="shared" si="62"/>
        <v>0.88591877081845993</v>
      </c>
      <c r="F96" s="162">
        <f t="shared" si="62"/>
        <v>1.0197029675710674</v>
      </c>
      <c r="G96" s="162">
        <f t="shared" si="62"/>
        <v>1.182978843232835</v>
      </c>
      <c r="H96" s="162">
        <f t="shared" si="62"/>
        <v>1.3853884327852803</v>
      </c>
      <c r="I96" s="162">
        <f t="shared" si="62"/>
        <v>1.9644974117212222</v>
      </c>
      <c r="J96" s="162">
        <f t="shared" si="62"/>
        <v>2.9159677752619153</v>
      </c>
      <c r="K96" s="162">
        <f t="shared" si="62"/>
        <v>1.7894911163275573</v>
      </c>
      <c r="L96" s="162">
        <f t="shared" si="62"/>
        <v>1.8221683230874426</v>
      </c>
      <c r="M96" s="162">
        <f t="shared" si="62"/>
        <v>1.8556623224659567</v>
      </c>
      <c r="N96" s="162">
        <f t="shared" si="62"/>
        <v>7.2079923798344474</v>
      </c>
    </row>
    <row r="97" spans="1:14" x14ac:dyDescent="0.25">
      <c r="A97" s="75" t="s">
        <v>246</v>
      </c>
      <c r="B97" s="161" t="s">
        <v>120</v>
      </c>
      <c r="C97" s="162">
        <f t="shared" ref="C97:N97" si="63" xml:space="preserve"> 76208.6211*C77 - 64528.35091*C76 + 21766.90698*C75 - 3544.03862*C74 + 277.89526*C73 - 8.01</f>
        <v>0.43220584929792061</v>
      </c>
      <c r="D97" s="162">
        <f t="shared" si="63"/>
        <v>1.0936884217317111</v>
      </c>
      <c r="E97" s="162">
        <f t="shared" si="63"/>
        <v>1.276443596615648</v>
      </c>
      <c r="F97" s="162">
        <f t="shared" si="63"/>
        <v>1.4894361180752593</v>
      </c>
      <c r="G97" s="162">
        <f t="shared" si="63"/>
        <v>1.7415310472840826</v>
      </c>
      <c r="H97" s="162">
        <f t="shared" si="63"/>
        <v>2.0459911606213605</v>
      </c>
      <c r="I97" s="162">
        <f t="shared" si="63"/>
        <v>2.8921543416790367</v>
      </c>
      <c r="J97" s="162">
        <f t="shared" si="63"/>
        <v>4.2543310725936347</v>
      </c>
      <c r="K97" s="162">
        <f t="shared" si="63"/>
        <v>2.6388729992242954</v>
      </c>
      <c r="L97" s="162">
        <f t="shared" si="63"/>
        <v>2.6862804843122543</v>
      </c>
      <c r="M97" s="162">
        <f t="shared" si="63"/>
        <v>2.7348143643675424</v>
      </c>
      <c r="N97" s="162">
        <f t="shared" si="63"/>
        <v>10.349835045970101</v>
      </c>
    </row>
    <row r="98" spans="1:14" x14ac:dyDescent="0.25">
      <c r="A98" s="75" t="s">
        <v>247</v>
      </c>
      <c r="B98" s="161" t="s">
        <v>121</v>
      </c>
      <c r="C98" s="162">
        <f t="shared" ref="C98:N98" si="64" xml:space="preserve"> 73827.1017*C77 - 60714.3115*C76 + 20349.36168*C75 - 3304.30929*C74 + 259.49856*C73 - 7.45</f>
        <v>0.51880531142144104</v>
      </c>
      <c r="D98" s="162">
        <f t="shared" si="64"/>
        <v>1.5693451623646082</v>
      </c>
      <c r="E98" s="162">
        <f t="shared" si="64"/>
        <v>1.8676082732699326</v>
      </c>
      <c r="F98" s="162">
        <f t="shared" si="64"/>
        <v>2.2226103808041655</v>
      </c>
      <c r="G98" s="162">
        <f t="shared" si="64"/>
        <v>2.6476008504758637</v>
      </c>
      <c r="H98" s="162">
        <f t="shared" si="64"/>
        <v>3.1604967141437497</v>
      </c>
      <c r="I98" s="162">
        <f t="shared" si="64"/>
        <v>4.5499591868419058</v>
      </c>
      <c r="J98" s="162">
        <f t="shared" si="64"/>
        <v>6.6590253739661618</v>
      </c>
      <c r="K98" s="162">
        <f t="shared" si="64"/>
        <v>4.1408533967575947</v>
      </c>
      <c r="L98" s="162">
        <f t="shared" si="64"/>
        <v>4.2178804125130283</v>
      </c>
      <c r="M98" s="162">
        <f t="shared" si="64"/>
        <v>4.2965203478662373</v>
      </c>
      <c r="N98" s="162">
        <f t="shared" si="64"/>
        <v>15.123098854973495</v>
      </c>
    </row>
    <row r="99" spans="1:14" x14ac:dyDescent="0.25">
      <c r="A99" s="75" t="s">
        <v>248</v>
      </c>
      <c r="B99" s="161" t="s">
        <v>219</v>
      </c>
      <c r="C99" s="162">
        <f xml:space="preserve"> 40733.9049*C77 - 36751.17452*C76 + 13395.20097*C75 - 2415.4317*C74 + 215.01129*C73 - 7.26</f>
        <v>0.29891195010047689</v>
      </c>
      <c r="D99" s="162">
        <f t="shared" ref="D99:N99" si="65" xml:space="preserve"> 40733.9049*D77 - 36751.17452*D76 + 13395.20097*D75 - 2415.4317*D74 + 215.01129*D73 - 7.26</f>
        <v>0.52297556380609755</v>
      </c>
      <c r="E99" s="162">
        <f t="shared" si="65"/>
        <v>0.58995001522538892</v>
      </c>
      <c r="F99" s="162">
        <f t="shared" si="65"/>
        <v>0.67106460950679114</v>
      </c>
      <c r="G99" s="162">
        <f t="shared" si="65"/>
        <v>0.7699864460460244</v>
      </c>
      <c r="H99" s="162">
        <f t="shared" si="65"/>
        <v>0.89222093618334775</v>
      </c>
      <c r="I99" s="162">
        <f t="shared" si="65"/>
        <v>1.2405711855194763</v>
      </c>
      <c r="J99" s="162">
        <f t="shared" si="65"/>
        <v>1.814215540628096</v>
      </c>
      <c r="K99" s="162">
        <f t="shared" si="65"/>
        <v>1.135371526803814</v>
      </c>
      <c r="L99" s="162">
        <f t="shared" si="65"/>
        <v>1.1550135896827509</v>
      </c>
      <c r="M99" s="162">
        <f t="shared" si="65"/>
        <v>1.1751465012527529</v>
      </c>
      <c r="N99" s="162">
        <f t="shared" si="65"/>
        <v>4.4536605762765102</v>
      </c>
    </row>
    <row r="100" spans="1:14" x14ac:dyDescent="0.25">
      <c r="A100" s="75" t="s">
        <v>249</v>
      </c>
      <c r="B100" s="161" t="s">
        <v>141</v>
      </c>
      <c r="C100" s="162">
        <f t="shared" ref="C100:N100" si="66" xml:space="preserve"> 58644.91546*C77 - 51277.08978*C76+ 18140.63323*C75 - 3175.6924*C74 + 274.28544*C73 - 9.02</f>
        <v>0.33775228503347066</v>
      </c>
      <c r="D100" s="162">
        <f t="shared" si="66"/>
        <v>0.66261745932829896</v>
      </c>
      <c r="E100" s="162">
        <f t="shared" si="66"/>
        <v>0.76396733454280152</v>
      </c>
      <c r="F100" s="162">
        <f t="shared" si="66"/>
        <v>0.8883034430254817</v>
      </c>
      <c r="G100" s="162">
        <f t="shared" si="66"/>
        <v>1.0424158944459769</v>
      </c>
      <c r="H100" s="162">
        <f t="shared" si="66"/>
        <v>1.2361117169048121</v>
      </c>
      <c r="I100" s="162">
        <f t="shared" si="66"/>
        <v>1.800496729998553</v>
      </c>
      <c r="J100" s="162">
        <f t="shared" si="66"/>
        <v>2.7451465622584088</v>
      </c>
      <c r="K100" s="162">
        <f t="shared" si="66"/>
        <v>1.6287380284441859</v>
      </c>
      <c r="L100" s="162">
        <f t="shared" si="66"/>
        <v>1.660743230709766</v>
      </c>
      <c r="M100" s="162">
        <f t="shared" si="66"/>
        <v>1.6935809704526683</v>
      </c>
      <c r="N100" s="162">
        <f t="shared" si="66"/>
        <v>7.0931345839390723</v>
      </c>
    </row>
    <row r="101" spans="1:14" x14ac:dyDescent="0.25">
      <c r="A101" s="75" t="s">
        <v>250</v>
      </c>
      <c r="B101" s="161" t="s">
        <v>142</v>
      </c>
      <c r="C101" s="165">
        <f xml:space="preserve"> 29372.07272*C77 - 22669.98997*C76 + 6956.69784*C75 - 960.8162*C74 + 55.83313*C73 - 0.51</f>
        <v>0.40541822724710452</v>
      </c>
      <c r="D101" s="165">
        <f t="shared" ref="D101:N101" si="67" xml:space="preserve"> 29372.07272*D77 - 22669.98997*D76 + 6956.69784*D75 - 960.8162*D74 + 55.83313*D73 - 0.51</f>
        <v>1.0134870417597239</v>
      </c>
      <c r="E101" s="165">
        <f t="shared" si="67"/>
        <v>1.1836422017395323</v>
      </c>
      <c r="F101" s="165">
        <f t="shared" si="67"/>
        <v>1.3820668238346501</v>
      </c>
      <c r="G101" s="165">
        <f t="shared" si="67"/>
        <v>1.6148367825970966</v>
      </c>
      <c r="H101" s="165">
        <f t="shared" si="67"/>
        <v>1.8902215691977202</v>
      </c>
      <c r="I101" s="165">
        <f t="shared" si="67"/>
        <v>2.6148502742824782</v>
      </c>
      <c r="J101" s="165">
        <f t="shared" si="67"/>
        <v>3.6784490045778568</v>
      </c>
      <c r="K101" s="165">
        <f t="shared" si="67"/>
        <v>2.4040991826659646</v>
      </c>
      <c r="L101" s="165">
        <f t="shared" si="67"/>
        <v>2.4439231127898289</v>
      </c>
      <c r="M101" s="165">
        <f t="shared" si="67"/>
        <v>2.4845101129944656</v>
      </c>
      <c r="N101" s="165">
        <f t="shared" si="67"/>
        <v>7.7703451915223756</v>
      </c>
    </row>
    <row r="102" spans="1:14" x14ac:dyDescent="0.25">
      <c r="A102" s="170" t="s">
        <v>251</v>
      </c>
      <c r="B102" s="161" t="s">
        <v>143</v>
      </c>
      <c r="C102" s="162">
        <f xml:space="preserve"> 4564.57887*C77 - 4085.11767*C76 + 2049.36962*C75 - 391.39311*C74 + 30.6636*C73 - 0.38</f>
        <v>0.47137324824678373</v>
      </c>
      <c r="D102" s="162">
        <f t="shared" ref="D102:N102" si="68" xml:space="preserve"> 4564.57887*D77 - 4085.11767*D76 + 2049.36962*D75 - 391.39311*D74 + 30.6636*D73 - 0.38</f>
        <v>1.4308532726442778</v>
      </c>
      <c r="E102" s="162">
        <f t="shared" si="68"/>
        <v>1.7102179606620762</v>
      </c>
      <c r="F102" s="162">
        <f t="shared" si="68"/>
        <v>2.0366867588887176</v>
      </c>
      <c r="G102" s="162">
        <f t="shared" si="68"/>
        <v>2.413986317673225</v>
      </c>
      <c r="H102" s="162">
        <f t="shared" si="68"/>
        <v>2.8460568015160108</v>
      </c>
      <c r="I102" s="162">
        <f t="shared" si="68"/>
        <v>3.8916447043077875</v>
      </c>
      <c r="J102" s="162">
        <f t="shared" si="68"/>
        <v>5.2111796303904336</v>
      </c>
      <c r="K102" s="162">
        <f t="shared" si="68"/>
        <v>3.6012592321319534</v>
      </c>
      <c r="L102" s="162">
        <f t="shared" si="68"/>
        <v>3.656964960518569</v>
      </c>
      <c r="M102" s="162">
        <f t="shared" si="68"/>
        <v>3.7133337329526768</v>
      </c>
      <c r="N102" s="162">
        <f t="shared" si="68"/>
        <v>8.9880629149859868</v>
      </c>
    </row>
    <row r="103" spans="1:14" x14ac:dyDescent="0.25">
      <c r="A103" s="163"/>
      <c r="B103" s="164" t="s">
        <v>220</v>
      </c>
      <c r="C103" s="67">
        <f>($C12-0.75)*($C12-0.8)/0.005</f>
        <v>-0.10151642598368285</v>
      </c>
      <c r="D103" s="67">
        <f t="shared" ref="D103:N103" si="69">($C12-0.75)*($C12-0.8)/0.005</f>
        <v>-0.10151642598368285</v>
      </c>
      <c r="E103" s="67">
        <f t="shared" si="69"/>
        <v>-0.10151642598368285</v>
      </c>
      <c r="F103" s="67">
        <f t="shared" si="69"/>
        <v>-0.10151642598368285</v>
      </c>
      <c r="G103" s="67">
        <f t="shared" si="69"/>
        <v>-0.10151642598368285</v>
      </c>
      <c r="H103" s="67">
        <f t="shared" si="69"/>
        <v>-0.10151642598368285</v>
      </c>
      <c r="I103" s="67">
        <f t="shared" si="69"/>
        <v>-0.10151642598368285</v>
      </c>
      <c r="J103" s="67">
        <f t="shared" si="69"/>
        <v>-0.10151642598368285</v>
      </c>
      <c r="K103" s="67">
        <f t="shared" si="69"/>
        <v>-0.10151642598368285</v>
      </c>
      <c r="L103" s="67">
        <f t="shared" si="69"/>
        <v>-0.10151642598368285</v>
      </c>
      <c r="M103" s="67">
        <f t="shared" si="69"/>
        <v>-0.10151642598368285</v>
      </c>
      <c r="N103" s="67">
        <f t="shared" si="69"/>
        <v>-0.10151642598368285</v>
      </c>
    </row>
    <row r="104" spans="1:14" x14ac:dyDescent="0.25">
      <c r="A104" s="163"/>
      <c r="B104" s="164" t="s">
        <v>144</v>
      </c>
      <c r="C104" s="67">
        <f>($C12-0.7)*($C12-0.8)/0.0025</f>
        <v>-0.48631379873799579</v>
      </c>
      <c r="D104" s="67">
        <f t="shared" ref="D104:N104" si="70">($C12-0.7)*($C12-0.8)/0.0025</f>
        <v>-0.48631379873799579</v>
      </c>
      <c r="E104" s="67">
        <f t="shared" si="70"/>
        <v>-0.48631379873799579</v>
      </c>
      <c r="F104" s="67">
        <f t="shared" si="70"/>
        <v>-0.48631379873799579</v>
      </c>
      <c r="G104" s="67">
        <f t="shared" si="70"/>
        <v>-0.48631379873799579</v>
      </c>
      <c r="H104" s="67">
        <f t="shared" si="70"/>
        <v>-0.48631379873799579</v>
      </c>
      <c r="I104" s="67">
        <f t="shared" si="70"/>
        <v>-0.48631379873799579</v>
      </c>
      <c r="J104" s="67">
        <f t="shared" si="70"/>
        <v>-0.48631379873799579</v>
      </c>
      <c r="K104" s="67">
        <f t="shared" si="70"/>
        <v>-0.48631379873799579</v>
      </c>
      <c r="L104" s="67">
        <f t="shared" si="70"/>
        <v>-0.48631379873799579</v>
      </c>
      <c r="M104" s="67">
        <f t="shared" si="70"/>
        <v>-0.48631379873799579</v>
      </c>
      <c r="N104" s="67">
        <f t="shared" si="70"/>
        <v>-0.48631379873799579</v>
      </c>
    </row>
    <row r="105" spans="1:14" x14ac:dyDescent="0.25">
      <c r="A105" s="166"/>
      <c r="B105" s="169" t="s">
        <v>145</v>
      </c>
      <c r="C105" s="167">
        <f>($C12-0.7)*($C12-0.75)/0.005</f>
        <v>0.61520262724568886</v>
      </c>
      <c r="D105" s="167">
        <f t="shared" ref="D105:N105" si="71">($C12-0.7)*($C12-0.75)/0.005</f>
        <v>0.61520262724568886</v>
      </c>
      <c r="E105" s="167">
        <f t="shared" si="71"/>
        <v>0.61520262724568886</v>
      </c>
      <c r="F105" s="167">
        <f t="shared" si="71"/>
        <v>0.61520262724568886</v>
      </c>
      <c r="G105" s="167">
        <f t="shared" si="71"/>
        <v>0.61520262724568886</v>
      </c>
      <c r="H105" s="167">
        <f t="shared" si="71"/>
        <v>0.61520262724568886</v>
      </c>
      <c r="I105" s="167">
        <f t="shared" si="71"/>
        <v>0.61520262724568886</v>
      </c>
      <c r="J105" s="167">
        <f t="shared" si="71"/>
        <v>0.61520262724568886</v>
      </c>
      <c r="K105" s="167">
        <f t="shared" si="71"/>
        <v>0.61520262724568886</v>
      </c>
      <c r="L105" s="167">
        <f t="shared" si="71"/>
        <v>0.61520262724568886</v>
      </c>
      <c r="M105" s="167">
        <f t="shared" si="71"/>
        <v>0.61520262724568886</v>
      </c>
      <c r="N105" s="167">
        <f t="shared" si="71"/>
        <v>0.61520262724568886</v>
      </c>
    </row>
    <row r="106" spans="1:14" x14ac:dyDescent="0.25">
      <c r="A106" s="166"/>
      <c r="B106" s="169" t="s">
        <v>146</v>
      </c>
      <c r="C106" s="167">
        <f>($C12-0.8)*($C12-0.85)/0.005</f>
        <v>0.18176452078694696</v>
      </c>
      <c r="D106" s="167">
        <f t="shared" ref="D106:N106" si="72">($C12-0.8)*($C12-0.85)/0.005</f>
        <v>0.18176452078694696</v>
      </c>
      <c r="E106" s="167">
        <f t="shared" si="72"/>
        <v>0.18176452078694696</v>
      </c>
      <c r="F106" s="167">
        <f t="shared" si="72"/>
        <v>0.18176452078694696</v>
      </c>
      <c r="G106" s="167">
        <f t="shared" si="72"/>
        <v>0.18176452078694696</v>
      </c>
      <c r="H106" s="167">
        <f t="shared" si="72"/>
        <v>0.18176452078694696</v>
      </c>
      <c r="I106" s="167">
        <f t="shared" si="72"/>
        <v>0.18176452078694696</v>
      </c>
      <c r="J106" s="167">
        <f t="shared" si="72"/>
        <v>0.18176452078694696</v>
      </c>
      <c r="K106" s="167">
        <f t="shared" si="72"/>
        <v>0.18176452078694696</v>
      </c>
      <c r="L106" s="167">
        <f t="shared" si="72"/>
        <v>0.18176452078694696</v>
      </c>
      <c r="M106" s="167">
        <f t="shared" si="72"/>
        <v>0.18176452078694696</v>
      </c>
      <c r="N106" s="167">
        <f t="shared" si="72"/>
        <v>0.18176452078694696</v>
      </c>
    </row>
    <row r="107" spans="1:14" x14ac:dyDescent="0.25">
      <c r="A107" s="166"/>
      <c r="B107" s="169" t="s">
        <v>147</v>
      </c>
      <c r="C107" s="167">
        <f>($C12-0.75)*($C12-0.85)/0.0025</f>
        <v>-0.91975190519673566</v>
      </c>
      <c r="D107" s="167">
        <f t="shared" ref="D107:N107" si="73">($C12-0.75)*($C12-0.85)/0.0025</f>
        <v>-0.91975190519673566</v>
      </c>
      <c r="E107" s="167">
        <f t="shared" si="73"/>
        <v>-0.91975190519673566</v>
      </c>
      <c r="F107" s="167">
        <f t="shared" si="73"/>
        <v>-0.91975190519673566</v>
      </c>
      <c r="G107" s="167">
        <f t="shared" si="73"/>
        <v>-0.91975190519673566</v>
      </c>
      <c r="H107" s="167">
        <f t="shared" si="73"/>
        <v>-0.91975190519673566</v>
      </c>
      <c r="I107" s="167">
        <f t="shared" si="73"/>
        <v>-0.91975190519673566</v>
      </c>
      <c r="J107" s="167">
        <f t="shared" si="73"/>
        <v>-0.91975190519673566</v>
      </c>
      <c r="K107" s="167">
        <f t="shared" si="73"/>
        <v>-0.91975190519673566</v>
      </c>
      <c r="L107" s="167">
        <f t="shared" si="73"/>
        <v>-0.91975190519673566</v>
      </c>
      <c r="M107" s="167">
        <f t="shared" si="73"/>
        <v>-0.91975190519673566</v>
      </c>
      <c r="N107" s="167">
        <f t="shared" si="73"/>
        <v>-0.91975190519673566</v>
      </c>
    </row>
    <row r="108" spans="1:14" x14ac:dyDescent="0.25">
      <c r="A108" s="172" t="s">
        <v>252</v>
      </c>
      <c r="B108" s="173" t="s">
        <v>221</v>
      </c>
      <c r="C108" s="174">
        <f t="shared" ref="C108:N108" si="74">IF($C12&lt;0.775,C103*C79-C104*C80+C105*C81,C106*C80-C107*C81+C103*C82)</f>
        <v>0.6997245859745741</v>
      </c>
      <c r="D108" s="174">
        <f t="shared" si="74"/>
        <v>1.5154930194225389</v>
      </c>
      <c r="E108" s="174">
        <f t="shared" si="74"/>
        <v>1.7347210572686684</v>
      </c>
      <c r="F108" s="174">
        <f t="shared" si="74"/>
        <v>2.0338684582748354</v>
      </c>
      <c r="G108" s="174">
        <f t="shared" si="74"/>
        <v>2.4599563466440681</v>
      </c>
      <c r="H108" s="174">
        <f t="shared" si="74"/>
        <v>3.0774399130813181</v>
      </c>
      <c r="I108" s="174">
        <f t="shared" si="74"/>
        <v>5.2470842787023981</v>
      </c>
      <c r="J108" s="174">
        <f t="shared" si="74"/>
        <v>9.5052853978279064</v>
      </c>
      <c r="K108" s="174">
        <f t="shared" si="74"/>
        <v>4.5422458515153101</v>
      </c>
      <c r="L108" s="174">
        <f t="shared" si="74"/>
        <v>4.6711690086572419</v>
      </c>
      <c r="M108" s="174">
        <f t="shared" si="74"/>
        <v>4.8046493379378159</v>
      </c>
      <c r="N108" s="174">
        <f t="shared" si="74"/>
        <v>31.429275889384797</v>
      </c>
    </row>
    <row r="109" spans="1:14" x14ac:dyDescent="0.25">
      <c r="A109" s="172" t="s">
        <v>253</v>
      </c>
      <c r="B109" s="173" t="s">
        <v>223</v>
      </c>
      <c r="C109" s="174">
        <f t="shared" ref="C109:N109" si="75">IF($C12&lt;0.775,C103*C83-C104*C84+C105*C85,C106*C84-C107*C85+C103*C86)</f>
        <v>0.6149156796637385</v>
      </c>
      <c r="D109" s="174">
        <f t="shared" si="75"/>
        <v>1.3591437629226897</v>
      </c>
      <c r="E109" s="174">
        <f t="shared" si="75"/>
        <v>1.5599888323466695</v>
      </c>
      <c r="F109" s="174">
        <f t="shared" si="75"/>
        <v>1.8157652424493549</v>
      </c>
      <c r="G109" s="174">
        <f t="shared" si="75"/>
        <v>2.1578599741332658</v>
      </c>
      <c r="H109" s="174">
        <f t="shared" si="75"/>
        <v>2.6344045514316048</v>
      </c>
      <c r="I109" s="174">
        <f t="shared" si="75"/>
        <v>4.298217662190404</v>
      </c>
      <c r="J109" s="174">
        <f t="shared" si="75"/>
        <v>7.7367717095604176</v>
      </c>
      <c r="K109" s="174">
        <f t="shared" si="75"/>
        <v>3.7531043866576739</v>
      </c>
      <c r="L109" s="174">
        <f t="shared" si="75"/>
        <v>3.8523454262551877</v>
      </c>
      <c r="M109" s="174">
        <f t="shared" si="75"/>
        <v>3.9553062726373107</v>
      </c>
      <c r="N109" s="174">
        <f t="shared" si="75"/>
        <v>28.221510587670444</v>
      </c>
    </row>
    <row r="110" spans="1:14" x14ac:dyDescent="0.25">
      <c r="A110" s="172" t="s">
        <v>254</v>
      </c>
      <c r="B110" s="173" t="s">
        <v>222</v>
      </c>
      <c r="C110" s="174">
        <f t="shared" ref="C110:N110" si="76">IF($C12&lt;0.775,C103*C87-C104*C88+C105*C89,C106*C88-C107*C89+C103*C90)</f>
        <v>0.52703949350387924</v>
      </c>
      <c r="D110" s="174">
        <f t="shared" si="76"/>
        <v>1.1897369539078351</v>
      </c>
      <c r="E110" s="174">
        <f t="shared" si="76"/>
        <v>1.368685014978098</v>
      </c>
      <c r="F110" s="174">
        <f t="shared" si="76"/>
        <v>1.5870814529927495</v>
      </c>
      <c r="G110" s="174">
        <f t="shared" si="76"/>
        <v>1.8622976485320923</v>
      </c>
      <c r="H110" s="174">
        <f t="shared" si="76"/>
        <v>2.2212285940459724</v>
      </c>
      <c r="I110" s="174">
        <f t="shared" si="76"/>
        <v>3.364310066275161</v>
      </c>
      <c r="J110" s="174">
        <f t="shared" si="76"/>
        <v>5.5494442707245968</v>
      </c>
      <c r="K110" s="174">
        <f t="shared" si="76"/>
        <v>3.0014937212884547</v>
      </c>
      <c r="L110" s="174">
        <f t="shared" si="76"/>
        <v>3.0681576647642101</v>
      </c>
      <c r="M110" s="174">
        <f t="shared" si="76"/>
        <v>3.1370112294505721</v>
      </c>
      <c r="N110" s="174">
        <f t="shared" si="76"/>
        <v>17.897921398043476</v>
      </c>
    </row>
    <row r="111" spans="1:14" x14ac:dyDescent="0.25">
      <c r="A111" s="172" t="s">
        <v>255</v>
      </c>
      <c r="B111" s="173" t="s">
        <v>225</v>
      </c>
      <c r="C111" s="174">
        <f t="shared" ref="C111:N111" si="77">IF($C12&lt;0.775,C103*C91-C104*C92+C105*C93,C106*C92-C107*C93+C103*C94)</f>
        <v>0.45154953415244309</v>
      </c>
      <c r="D111" s="174">
        <f t="shared" si="77"/>
        <v>1.0904484469267417</v>
      </c>
      <c r="E111" s="174">
        <f t="shared" si="77"/>
        <v>1.2658577913693281</v>
      </c>
      <c r="F111" s="174">
        <f t="shared" si="77"/>
        <v>1.4772954734572299</v>
      </c>
      <c r="G111" s="174">
        <f t="shared" si="77"/>
        <v>1.7348460440078037</v>
      </c>
      <c r="H111" s="174">
        <f t="shared" si="77"/>
        <v>2.0516103080626058</v>
      </c>
      <c r="I111" s="174">
        <f t="shared" si="77"/>
        <v>2.9326583441241509</v>
      </c>
      <c r="J111" s="174">
        <f t="shared" si="77"/>
        <v>4.300732702083744</v>
      </c>
      <c r="K111" s="174">
        <f t="shared" si="77"/>
        <v>2.6706521062563189</v>
      </c>
      <c r="L111" s="174">
        <f t="shared" si="77"/>
        <v>2.7198509708813345</v>
      </c>
      <c r="M111" s="174">
        <f t="shared" si="77"/>
        <v>2.7701465168081074</v>
      </c>
      <c r="N111" s="174">
        <f t="shared" si="77"/>
        <v>9.8293870862946662</v>
      </c>
    </row>
    <row r="112" spans="1:14" x14ac:dyDescent="0.25">
      <c r="A112" s="172" t="s">
        <v>256</v>
      </c>
      <c r="B112" s="173" t="s">
        <v>226</v>
      </c>
      <c r="C112" s="174">
        <f t="shared" ref="C112:N112" si="78">IF($C12&lt;0.775,C103*C95-C104*C96+C105*C97,C106*C96-C107*C97+C103*C98)</f>
        <v>0.4147878205333817</v>
      </c>
      <c r="D112" s="174">
        <f t="shared" si="78"/>
        <v>0.98746031051847571</v>
      </c>
      <c r="E112" s="174">
        <f t="shared" si="78"/>
        <v>1.1454471136574733</v>
      </c>
      <c r="F112" s="174">
        <f t="shared" si="78"/>
        <v>1.3296260663006614</v>
      </c>
      <c r="G112" s="174">
        <f t="shared" si="78"/>
        <v>1.5480251054684455</v>
      </c>
      <c r="H112" s="174">
        <f t="shared" si="78"/>
        <v>1.812776401833126</v>
      </c>
      <c r="I112" s="174">
        <f t="shared" si="78"/>
        <v>2.5552448014911966</v>
      </c>
      <c r="J112" s="174">
        <f t="shared" si="78"/>
        <v>3.7669481381566272</v>
      </c>
      <c r="K112" s="174">
        <f t="shared" si="78"/>
        <v>2.332009826459323</v>
      </c>
      <c r="L112" s="174">
        <f t="shared" si="78"/>
        <v>2.3737330006732451</v>
      </c>
      <c r="M112" s="174">
        <f t="shared" si="78"/>
        <v>2.4164769048903141</v>
      </c>
      <c r="N112" s="174">
        <f t="shared" si="78"/>
        <v>9.2941948372046816</v>
      </c>
    </row>
    <row r="113" spans="1:14" x14ac:dyDescent="0.25">
      <c r="A113" s="172" t="s">
        <v>257</v>
      </c>
      <c r="B113" s="173" t="s">
        <v>227</v>
      </c>
      <c r="C113" s="174">
        <f t="shared" ref="C113:N113" si="79">IF($C12&lt;0.775,C103*C99-C104*C100+C105*C101,C106*C100-C107*C101+C103*C102)</f>
        <v>0.3864234416794799</v>
      </c>
      <c r="D113" s="174">
        <f t="shared" si="79"/>
        <v>0.9073418721646791</v>
      </c>
      <c r="E113" s="174">
        <f t="shared" si="79"/>
        <v>1.0539041115617307</v>
      </c>
      <c r="F113" s="174">
        <f t="shared" si="79"/>
        <v>1.2258634833553688</v>
      </c>
      <c r="G113" s="174">
        <f t="shared" si="79"/>
        <v>1.4296641695464192</v>
      </c>
      <c r="H113" s="174">
        <f t="shared" si="79"/>
        <v>1.6742946287394427</v>
      </c>
      <c r="I113" s="174">
        <f t="shared" si="79"/>
        <v>2.3372140853025152</v>
      </c>
      <c r="J113" s="174">
        <f t="shared" si="79"/>
        <v>3.353210398272148</v>
      </c>
      <c r="K113" s="174">
        <f t="shared" si="79"/>
        <v>2.1416346244797921</v>
      </c>
      <c r="L113" s="174">
        <f t="shared" si="79"/>
        <v>2.1784251238835033</v>
      </c>
      <c r="M113" s="174">
        <f t="shared" si="79"/>
        <v>2.2160014743614354</v>
      </c>
      <c r="N113" s="174">
        <f t="shared" si="79"/>
        <v>7.5236339788201452</v>
      </c>
    </row>
    <row r="114" spans="1:14" x14ac:dyDescent="0.25">
      <c r="A114" s="159" t="s">
        <v>131</v>
      </c>
      <c r="B114" s="171" t="s">
        <v>122</v>
      </c>
      <c r="C114" s="184">
        <f t="shared" ref="C114:N114" si="80">IF($C13&gt;5.25,IF($C13&lt;5.75,C109*($C13-5.5)*($C13-6)/0.5-C110*($C13-5)*($C13-6)/0.25+C111*($C13-5)*($C13-5.5)/0.5,IF($C13&lt;6.25,C110*($C13-6)*($C13-6.5)/0.5-C111*($C13-5.5)*($C13-6.5)/0.25+C112*($C13-5.5)*($C13-6)/0.5,C111*($C13-6.5)*($C13-7)/0.5-C112*($C13-6)*($C13-7)/0.25+C113*($C13-6)*($C13-6.5)/0.5)),C108*($C13-5)*($C13-5.5)/0.5-C109*($C13-4.5)*($C13-5.5)/0.25+C110*($C13-4.5)*($C13-5)/0.5)</f>
        <v>0.64239389036495076</v>
      </c>
      <c r="D114" s="184">
        <f t="shared" si="80"/>
        <v>1.4106066735302876</v>
      </c>
      <c r="E114" s="184">
        <f t="shared" si="80"/>
        <v>1.6177178769268206</v>
      </c>
      <c r="F114" s="184">
        <f t="shared" si="80"/>
        <v>1.8867239759725953</v>
      </c>
      <c r="G114" s="184">
        <f t="shared" si="80"/>
        <v>2.2538397938036656</v>
      </c>
      <c r="H114" s="184">
        <f t="shared" si="80"/>
        <v>2.7729560845802768</v>
      </c>
      <c r="I114" s="184">
        <f t="shared" si="80"/>
        <v>4.6002899610758829</v>
      </c>
      <c r="J114" s="184">
        <f t="shared" si="80"/>
        <v>8.3483848695497649</v>
      </c>
      <c r="K114" s="184">
        <f t="shared" si="80"/>
        <v>4.0015980044328385</v>
      </c>
      <c r="L114" s="184">
        <f t="shared" si="80"/>
        <v>4.1106542911304738</v>
      </c>
      <c r="M114" s="184">
        <f t="shared" si="80"/>
        <v>4.2237737839380403</v>
      </c>
      <c r="N114" s="184">
        <f t="shared" si="80"/>
        <v>30.022493714480159</v>
      </c>
    </row>
    <row r="115" spans="1:14" x14ac:dyDescent="0.25">
      <c r="A115" s="166"/>
      <c r="B115" s="169" t="s">
        <v>123</v>
      </c>
      <c r="C115" s="167">
        <f t="shared" ref="C115:N115" si="81">C22</f>
        <v>0.12</v>
      </c>
      <c r="D115" s="167">
        <f t="shared" si="81"/>
        <v>0.200555877516121</v>
      </c>
      <c r="E115" s="167">
        <f t="shared" si="81"/>
        <v>0.21041363441822353</v>
      </c>
      <c r="F115" s="167">
        <f t="shared" si="81"/>
        <v>0.22027139132032608</v>
      </c>
      <c r="G115" s="167">
        <f t="shared" si="81"/>
        <v>0.23012914822242861</v>
      </c>
      <c r="H115" s="167">
        <f t="shared" si="81"/>
        <v>0.23998690512453114</v>
      </c>
      <c r="I115" s="167">
        <f t="shared" si="81"/>
        <v>0.25970241892873619</v>
      </c>
      <c r="J115" s="167">
        <f t="shared" si="81"/>
        <v>0.27941793273294124</v>
      </c>
      <c r="K115" s="167">
        <f t="shared" si="81"/>
        <v>0.25468669016013873</v>
      </c>
      <c r="L115" s="167">
        <f t="shared" si="81"/>
        <v>0.25567246585034897</v>
      </c>
      <c r="M115" s="167">
        <f t="shared" si="81"/>
        <v>0.25665824154055922</v>
      </c>
      <c r="N115" s="167">
        <f t="shared" si="81"/>
        <v>0.32</v>
      </c>
    </row>
    <row r="116" spans="1:14" x14ac:dyDescent="0.25">
      <c r="A116" s="166"/>
      <c r="B116" s="169" t="s">
        <v>165</v>
      </c>
      <c r="C116" s="167">
        <f t="shared" ref="C116:N116" si="82">C52+C54+C56+C60</f>
        <v>0.70611645776255072</v>
      </c>
      <c r="D116" s="167">
        <f t="shared" si="82"/>
        <v>1.4748581982114408</v>
      </c>
      <c r="E116" s="167">
        <f t="shared" si="82"/>
        <v>1.6956368565915454</v>
      </c>
      <c r="F116" s="167">
        <f t="shared" si="82"/>
        <v>1.974823720962676</v>
      </c>
      <c r="G116" s="167">
        <f t="shared" si="82"/>
        <v>2.3332069597891794</v>
      </c>
      <c r="H116" s="167">
        <f t="shared" si="82"/>
        <v>2.8018668459963241</v>
      </c>
      <c r="I116" s="167">
        <f t="shared" si="82"/>
        <v>4.2827349086882522</v>
      </c>
      <c r="J116" s="167">
        <f t="shared" si="82"/>
        <v>7.106877513711968</v>
      </c>
      <c r="K116" s="167">
        <f t="shared" si="82"/>
        <v>3.8136722646130727</v>
      </c>
      <c r="L116" s="167">
        <f t="shared" si="82"/>
        <v>3.8998584679717432</v>
      </c>
      <c r="M116" s="167">
        <f t="shared" si="82"/>
        <v>3.9888687607274109</v>
      </c>
      <c r="N116" s="167">
        <f t="shared" si="82"/>
        <v>14.596121565415679</v>
      </c>
    </row>
    <row r="117" spans="1:14" x14ac:dyDescent="0.25">
      <c r="A117" s="166"/>
      <c r="B117" s="169" t="s">
        <v>166</v>
      </c>
      <c r="C117" s="167">
        <f t="shared" ref="C117:N117" si="83">C116-C114</f>
        <v>6.3722567397599961E-2</v>
      </c>
      <c r="D117" s="167">
        <f t="shared" si="83"/>
        <v>6.4251524681153249E-2</v>
      </c>
      <c r="E117" s="167">
        <f t="shared" si="83"/>
        <v>7.791897966472483E-2</v>
      </c>
      <c r="F117" s="167">
        <f t="shared" si="83"/>
        <v>8.8099744990080664E-2</v>
      </c>
      <c r="G117" s="167">
        <f t="shared" si="83"/>
        <v>7.9367165985513743E-2</v>
      </c>
      <c r="H117" s="167">
        <f t="shared" si="83"/>
        <v>2.8910761416047315E-2</v>
      </c>
      <c r="I117" s="167">
        <f t="shared" si="83"/>
        <v>-0.31755505238763071</v>
      </c>
      <c r="J117" s="167">
        <f t="shared" si="83"/>
        <v>-1.2415073558377969</v>
      </c>
      <c r="K117" s="167">
        <f t="shared" si="83"/>
        <v>-0.18792573981976579</v>
      </c>
      <c r="L117" s="167">
        <f t="shared" si="83"/>
        <v>-0.21079582315873058</v>
      </c>
      <c r="M117" s="167">
        <f t="shared" si="83"/>
        <v>-0.23490502321062934</v>
      </c>
      <c r="N117" s="167">
        <f t="shared" si="83"/>
        <v>-15.426372149064481</v>
      </c>
    </row>
  </sheetData>
  <sheetProtection password="CC7C" sheet="1" objects="1" scenarios="1"/>
  <phoneticPr fontId="2" type="noConversion"/>
  <dataValidations count="1">
    <dataValidation type="whole" allowBlank="1" showInputMessage="1" showErrorMessage="1" error="Value to be either 1 or 2" sqref="K14">
      <formula1>1</formula1>
      <formula2>3</formula2>
    </dataValidation>
  </dataValidations>
  <pageMargins left="0.75" right="0.75" top="1" bottom="1" header="0" footer="0"/>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O120"/>
  <sheetViews>
    <sheetView topLeftCell="A11" zoomScaleNormal="100" workbookViewId="0">
      <selection activeCell="D21" sqref="D21"/>
    </sheetView>
  </sheetViews>
  <sheetFormatPr defaultRowHeight="13.2" x14ac:dyDescent="0.25"/>
  <cols>
    <col min="1" max="1" width="27.44140625" customWidth="1"/>
    <col min="2" max="14" width="7.77734375" customWidth="1"/>
  </cols>
  <sheetData>
    <row r="1" spans="1:14" ht="21.6" thickBot="1" x14ac:dyDescent="0.45">
      <c r="A1" s="4" t="s">
        <v>370</v>
      </c>
      <c r="B1" s="5"/>
      <c r="C1" s="5"/>
      <c r="D1" s="5"/>
      <c r="E1" s="6"/>
      <c r="F1" s="5"/>
      <c r="G1" s="7"/>
      <c r="H1" s="80"/>
      <c r="I1" s="9"/>
      <c r="J1" s="8"/>
      <c r="K1" s="22"/>
      <c r="L1" s="8"/>
      <c r="M1" s="8"/>
      <c r="N1" s="230"/>
    </row>
    <row r="2" spans="1:14" ht="13.8" thickTop="1" x14ac:dyDescent="0.25">
      <c r="A2" s="10" t="s">
        <v>8</v>
      </c>
      <c r="B2" s="11"/>
      <c r="C2" s="11"/>
      <c r="D2" s="60"/>
      <c r="E2" s="98"/>
      <c r="F2" s="98"/>
      <c r="G2" s="11"/>
      <c r="H2" s="11"/>
      <c r="I2" s="12"/>
      <c r="J2" s="13" t="s">
        <v>9</v>
      </c>
      <c r="K2" s="14"/>
      <c r="L2" s="11"/>
      <c r="M2" s="11"/>
      <c r="N2" s="202"/>
    </row>
    <row r="3" spans="1:14" x14ac:dyDescent="0.25">
      <c r="A3" s="15" t="s">
        <v>10</v>
      </c>
      <c r="B3" s="16" t="s">
        <v>11</v>
      </c>
      <c r="C3" s="17">
        <v>1.0249999999999999</v>
      </c>
      <c r="D3" s="101"/>
      <c r="E3" s="79"/>
      <c r="F3" s="102"/>
      <c r="G3" s="18" t="s">
        <v>12</v>
      </c>
      <c r="H3" s="18"/>
      <c r="I3" s="18"/>
      <c r="J3" s="70">
        <v>1</v>
      </c>
      <c r="K3" s="23">
        <f>IF(J3=1,IF(C17=1,0.7*C73-0.45+0.08*C13,IF(C16=1,C74,G73)),J3)</f>
        <v>0.26598122732039658</v>
      </c>
      <c r="L3" s="461"/>
      <c r="M3" s="111"/>
      <c r="N3" s="206"/>
    </row>
    <row r="4" spans="1:14" x14ac:dyDescent="0.25">
      <c r="A4" s="15" t="s">
        <v>13</v>
      </c>
      <c r="B4" s="16" t="s">
        <v>14</v>
      </c>
      <c r="C4" s="20">
        <f>'Ship data'!E6</f>
        <v>69.39316773984396</v>
      </c>
      <c r="D4" s="103"/>
      <c r="E4" s="79"/>
      <c r="F4" s="102"/>
      <c r="G4" s="18" t="s">
        <v>15</v>
      </c>
      <c r="H4" s="18"/>
      <c r="I4" s="18"/>
      <c r="J4" s="71">
        <v>1</v>
      </c>
      <c r="K4" s="19">
        <f>IF(J4=1,IF(C17=1,E73-0.26+0.04*C13,IF(C16=1,E74,G74)),J4)</f>
        <v>0.23407532729681535</v>
      </c>
      <c r="L4" s="111"/>
      <c r="M4" s="111"/>
      <c r="N4" s="206"/>
    </row>
    <row r="5" spans="1:14" x14ac:dyDescent="0.25">
      <c r="A5" s="15" t="s">
        <v>16</v>
      </c>
      <c r="B5" s="16" t="s">
        <v>14</v>
      </c>
      <c r="C5" s="20">
        <f>'Ship data'!E7</f>
        <v>12.098035159762397</v>
      </c>
      <c r="D5" s="103"/>
      <c r="E5" s="79"/>
      <c r="F5" s="102"/>
      <c r="G5" s="18" t="s">
        <v>17</v>
      </c>
      <c r="H5" s="18"/>
      <c r="I5" s="18"/>
      <c r="J5" s="22"/>
      <c r="K5" s="19">
        <f>(1-K4)/(1-K3)</f>
        <v>1.0434674169260083</v>
      </c>
      <c r="L5" s="111"/>
      <c r="M5" s="111"/>
      <c r="N5" s="206"/>
    </row>
    <row r="6" spans="1:14" x14ac:dyDescent="0.25">
      <c r="A6" s="15" t="s">
        <v>18</v>
      </c>
      <c r="B6" s="16" t="s">
        <v>14</v>
      </c>
      <c r="C6" s="20">
        <f>'Ship data'!E95</f>
        <v>3.7282593146415111</v>
      </c>
      <c r="D6" s="104"/>
      <c r="E6" s="105"/>
      <c r="F6" s="102"/>
      <c r="G6" s="18" t="s">
        <v>19</v>
      </c>
      <c r="H6" s="18"/>
      <c r="I6" s="18"/>
      <c r="J6" s="22"/>
      <c r="K6" s="19">
        <f>'Ship data'!C49/100</f>
        <v>0.98</v>
      </c>
      <c r="L6" s="111"/>
      <c r="M6" s="111"/>
      <c r="N6" s="206"/>
    </row>
    <row r="7" spans="1:14" x14ac:dyDescent="0.25">
      <c r="A7" s="15" t="s">
        <v>20</v>
      </c>
      <c r="B7" s="16" t="s">
        <v>21</v>
      </c>
      <c r="C7" s="24">
        <f>'Ship data'!E94</f>
        <v>2456.4727921305375</v>
      </c>
      <c r="D7" s="103"/>
      <c r="E7" s="79"/>
      <c r="F7" s="102"/>
      <c r="G7" s="18" t="s">
        <v>22</v>
      </c>
      <c r="H7" s="18"/>
      <c r="I7" s="18"/>
      <c r="J7" s="22"/>
      <c r="K7" s="25">
        <v>1</v>
      </c>
      <c r="L7" s="111"/>
      <c r="M7" s="111"/>
      <c r="N7" s="206"/>
    </row>
    <row r="8" spans="1:14" x14ac:dyDescent="0.25">
      <c r="A8" s="15" t="s">
        <v>23</v>
      </c>
      <c r="B8" s="16" t="s">
        <v>24</v>
      </c>
      <c r="C8" s="24">
        <f>'Ship data'!E34+2*(C4+C5)*(C6-'Ship data'!E12)</f>
        <v>1111.789054047892</v>
      </c>
      <c r="D8" s="103"/>
      <c r="E8" s="79"/>
      <c r="F8" s="102"/>
      <c r="G8" s="27" t="s">
        <v>25</v>
      </c>
      <c r="H8" s="28"/>
      <c r="I8" s="28"/>
      <c r="J8" s="28"/>
      <c r="K8" s="462"/>
      <c r="L8" s="111"/>
      <c r="M8" s="111"/>
      <c r="N8" s="206"/>
    </row>
    <row r="9" spans="1:14" x14ac:dyDescent="0.25">
      <c r="A9" s="15" t="s">
        <v>26</v>
      </c>
      <c r="B9" s="16" t="s">
        <v>24</v>
      </c>
      <c r="C9" s="24">
        <f>IF(C8=0,(1.08+(C16-1)*0.05-0.009*C5/C6)*(C7/C3/C6+1.65*C4*C6),C8)</f>
        <v>1111.789054047892</v>
      </c>
      <c r="D9" s="104"/>
      <c r="E9" s="79"/>
      <c r="F9" s="102"/>
      <c r="G9" s="30" t="s">
        <v>27</v>
      </c>
      <c r="H9" s="30"/>
      <c r="I9" s="30"/>
      <c r="J9" s="31">
        <v>0.32</v>
      </c>
      <c r="K9" s="32" t="str">
        <f>IF(J9&gt;0.32,"Too high"," ")</f>
        <v xml:space="preserve"> </v>
      </c>
      <c r="L9" s="111"/>
      <c r="M9" s="111"/>
      <c r="N9" s="206"/>
    </row>
    <row r="10" spans="1:14" x14ac:dyDescent="0.25">
      <c r="A10" s="15" t="s">
        <v>4</v>
      </c>
      <c r="B10" s="16" t="s">
        <v>28</v>
      </c>
      <c r="C10" s="17">
        <f>'Ship data'!E98</f>
        <v>0.99397856072700974</v>
      </c>
      <c r="D10" s="103"/>
      <c r="E10" s="79"/>
      <c r="F10" s="102"/>
      <c r="G10" s="33" t="s">
        <v>29</v>
      </c>
      <c r="H10" s="33"/>
      <c r="I10" s="33"/>
      <c r="J10" s="21">
        <v>1</v>
      </c>
      <c r="K10" s="34" t="str">
        <f>IF(J10&lt;0.9,"Too low"," ")</f>
        <v xml:space="preserve"> </v>
      </c>
      <c r="L10" s="111"/>
      <c r="M10" s="111"/>
      <c r="N10" s="206"/>
    </row>
    <row r="11" spans="1:14" x14ac:dyDescent="0.25">
      <c r="A11" s="15" t="s">
        <v>30</v>
      </c>
      <c r="B11" s="16" t="s">
        <v>28</v>
      </c>
      <c r="C11" s="17">
        <f>C7/C3/C4/C5/C6</f>
        <v>0.76568550532844493</v>
      </c>
      <c r="D11" s="103"/>
      <c r="E11" s="79"/>
      <c r="F11" s="102"/>
      <c r="G11" s="63" t="s">
        <v>124</v>
      </c>
      <c r="H11" s="63"/>
      <c r="I11" s="464"/>
      <c r="J11" s="465"/>
      <c r="K11" s="236">
        <f>'Ship data'!E100</f>
        <v>15</v>
      </c>
      <c r="L11" s="111"/>
      <c r="M11" s="111"/>
      <c r="N11" s="206"/>
    </row>
    <row r="12" spans="1:14" x14ac:dyDescent="0.25">
      <c r="A12" s="15" t="s">
        <v>31</v>
      </c>
      <c r="B12" s="16" t="s">
        <v>28</v>
      </c>
      <c r="C12" s="17">
        <f>C11/C10</f>
        <v>0.77032396430000649</v>
      </c>
      <c r="D12" s="106"/>
      <c r="E12" s="78"/>
      <c r="F12" s="102"/>
      <c r="G12" s="66" t="s">
        <v>125</v>
      </c>
      <c r="H12" s="65"/>
      <c r="I12" s="467"/>
      <c r="J12" s="468"/>
      <c r="K12" s="469">
        <v>15</v>
      </c>
      <c r="L12" s="111"/>
      <c r="M12" s="111"/>
      <c r="N12" s="206"/>
    </row>
    <row r="13" spans="1:14" x14ac:dyDescent="0.25">
      <c r="A13" s="15" t="s">
        <v>32</v>
      </c>
      <c r="B13" s="16" t="s">
        <v>28</v>
      </c>
      <c r="C13" s="20">
        <f>C4/(C7/C3)^(1/3)</f>
        <v>5.1854607201752598</v>
      </c>
      <c r="D13" s="106" t="str">
        <f>IF(OR(C13&lt;4,C13&gt;9)," Warning: Length-displ. ratio out of range !","")</f>
        <v/>
      </c>
      <c r="E13" s="78"/>
      <c r="F13" s="102"/>
      <c r="G13" s="66" t="s">
        <v>126</v>
      </c>
      <c r="H13" s="66"/>
      <c r="I13" s="467"/>
      <c r="J13" s="468"/>
      <c r="K13" s="469">
        <v>1</v>
      </c>
      <c r="L13" s="111"/>
      <c r="M13" s="111"/>
      <c r="N13" s="206"/>
    </row>
    <row r="14" spans="1:14" x14ac:dyDescent="0.25">
      <c r="A14" s="15" t="s">
        <v>33</v>
      </c>
      <c r="B14" s="16" t="s">
        <v>28</v>
      </c>
      <c r="C14" s="36">
        <v>0</v>
      </c>
      <c r="D14" s="106"/>
      <c r="E14" s="78"/>
      <c r="F14" s="102"/>
      <c r="G14" s="66" t="s">
        <v>130</v>
      </c>
      <c r="H14" s="66"/>
      <c r="I14" s="467"/>
      <c r="J14" s="468"/>
      <c r="K14" s="236">
        <f>'Ship data'!E68</f>
        <v>1</v>
      </c>
      <c r="L14" s="574"/>
      <c r="M14" s="575" t="s">
        <v>262</v>
      </c>
      <c r="N14" s="576">
        <f>'Ship data'!E40</f>
        <v>0.85</v>
      </c>
    </row>
    <row r="15" spans="1:14" x14ac:dyDescent="0.25">
      <c r="A15" s="15" t="s">
        <v>34</v>
      </c>
      <c r="B15" s="16" t="s">
        <v>28</v>
      </c>
      <c r="C15" s="36">
        <v>0</v>
      </c>
      <c r="D15" s="107"/>
      <c r="E15" s="108"/>
      <c r="F15" s="79"/>
      <c r="G15" s="406" t="s">
        <v>397</v>
      </c>
      <c r="H15" s="407"/>
      <c r="I15" s="407"/>
      <c r="J15" s="407"/>
      <c r="K15" s="470">
        <f>'Ship data'!E50</f>
        <v>0</v>
      </c>
      <c r="L15" s="574"/>
      <c r="M15" s="577" t="s">
        <v>487</v>
      </c>
      <c r="N15" s="578">
        <f>'Ship data'!E104</f>
        <v>166.82809134163446</v>
      </c>
    </row>
    <row r="16" spans="1:14" x14ac:dyDescent="0.25">
      <c r="A16" s="15" t="s">
        <v>35</v>
      </c>
      <c r="B16" s="16" t="s">
        <v>28</v>
      </c>
      <c r="C16" s="26">
        <v>1</v>
      </c>
      <c r="D16" s="109" t="str">
        <f>IF(OR(C4/C5&lt;3.5,C4/C5&gt;10)," Warning: L/B out of range !","")</f>
        <v/>
      </c>
      <c r="E16" s="110"/>
      <c r="F16" s="110"/>
      <c r="G16" s="110"/>
      <c r="H16" s="110"/>
      <c r="I16" s="473"/>
      <c r="J16" s="472"/>
      <c r="K16" s="108"/>
      <c r="L16" s="579" t="s">
        <v>488</v>
      </c>
      <c r="M16" s="580"/>
      <c r="N16" s="581">
        <f>'Ship data'!E101</f>
        <v>0</v>
      </c>
    </row>
    <row r="17" spans="1:15" x14ac:dyDescent="0.25">
      <c r="A17" s="15" t="s">
        <v>36</v>
      </c>
      <c r="B17" s="16" t="s">
        <v>28</v>
      </c>
      <c r="C17" s="26">
        <v>1</v>
      </c>
      <c r="D17" s="109" t="str">
        <f>IF(C5/C6&gt;6.5,"  Warning: B/T out of range !","")</f>
        <v/>
      </c>
      <c r="E17" s="110"/>
      <c r="F17" s="110"/>
      <c r="G17" s="110"/>
      <c r="H17" s="110"/>
      <c r="I17" s="473"/>
      <c r="J17" s="472"/>
      <c r="K17" s="108"/>
      <c r="L17" s="582" t="s">
        <v>261</v>
      </c>
      <c r="M17" s="583"/>
      <c r="N17" s="584">
        <f>IF(N16=0,0,MAX(0,0.18+0.464*N16+0.4034113*N16^2-0.0285278*N16^3+0.00097424*N16^4))</f>
        <v>0</v>
      </c>
    </row>
    <row r="18" spans="1:15" x14ac:dyDescent="0.25">
      <c r="A18" s="15" t="s">
        <v>37</v>
      </c>
      <c r="B18" s="16" t="s">
        <v>14</v>
      </c>
      <c r="C18" s="20">
        <f>'Ship data'!E70</f>
        <v>3.0735094775088392</v>
      </c>
      <c r="D18" s="590">
        <f>C18/C6</f>
        <v>0.82438189463877753</v>
      </c>
      <c r="E18" s="591" t="s">
        <v>163</v>
      </c>
      <c r="F18" s="110"/>
      <c r="G18" s="110"/>
      <c r="H18" s="463"/>
      <c r="I18" s="588" t="s">
        <v>167</v>
      </c>
      <c r="J18" s="822">
        <f>'Ship data'!E99</f>
        <v>8.6999999999999993</v>
      </c>
      <c r="K18" s="108"/>
      <c r="L18" s="582" t="s">
        <v>489</v>
      </c>
      <c r="M18" s="585"/>
      <c r="N18" s="586">
        <f>MAX(0,0.01666667*N16^3-0.23571429*N16^2+1.8333*N16-3.6)</f>
        <v>0</v>
      </c>
    </row>
    <row r="19" spans="1:15" ht="13.8" thickBot="1" x14ac:dyDescent="0.3">
      <c r="A19" s="18" t="s">
        <v>38</v>
      </c>
      <c r="B19" s="37" t="s">
        <v>28</v>
      </c>
      <c r="C19" s="24">
        <v>4</v>
      </c>
      <c r="D19" s="111"/>
      <c r="E19" s="108"/>
      <c r="F19" s="108"/>
      <c r="G19" s="110"/>
      <c r="H19" s="110"/>
      <c r="I19" s="473"/>
      <c r="J19" s="472"/>
      <c r="K19" s="108"/>
      <c r="L19" s="111"/>
      <c r="M19" s="111"/>
      <c r="N19" s="206"/>
    </row>
    <row r="20" spans="1:15" ht="14.4" thickTop="1" thickBot="1" x14ac:dyDescent="0.3">
      <c r="A20" s="10" t="s">
        <v>39</v>
      </c>
      <c r="B20" s="38"/>
      <c r="C20" s="11"/>
      <c r="D20" s="11"/>
      <c r="E20" s="11"/>
      <c r="F20" s="11"/>
      <c r="G20" s="11"/>
      <c r="H20" s="11"/>
      <c r="I20" s="11"/>
      <c r="J20" s="11"/>
      <c r="K20" s="11"/>
      <c r="L20" s="11"/>
      <c r="M20" s="11"/>
      <c r="N20" s="231"/>
    </row>
    <row r="21" spans="1:15" x14ac:dyDescent="0.25">
      <c r="A21" s="39" t="s">
        <v>40</v>
      </c>
      <c r="B21" s="55" t="s">
        <v>41</v>
      </c>
      <c r="C21" s="85">
        <f>(C22*(9.81*C4)^0.5)/0.5144</f>
        <v>6.0865773619557171</v>
      </c>
      <c r="D21" s="846">
        <f>E21-1</f>
        <v>2.6999999999999993</v>
      </c>
      <c r="E21" s="811">
        <f>F21-1</f>
        <v>3.6999999999999993</v>
      </c>
      <c r="F21" s="811">
        <f>G21-1</f>
        <v>4.6999999999999993</v>
      </c>
      <c r="G21" s="811">
        <f>H21-1</f>
        <v>5.6999999999999993</v>
      </c>
      <c r="H21" s="811">
        <f>I21-1</f>
        <v>6.6999999999999993</v>
      </c>
      <c r="I21" s="811">
        <f>K21-1</f>
        <v>7.6999999999999993</v>
      </c>
      <c r="J21" s="812">
        <f>K21-0.01</f>
        <v>8.69</v>
      </c>
      <c r="K21" s="812">
        <f>J18</f>
        <v>8.6999999999999993</v>
      </c>
      <c r="L21" s="812">
        <f>K21+0.01</f>
        <v>8.7099999999999991</v>
      </c>
      <c r="M21" s="251">
        <f>L21+0.5</f>
        <v>9.2099999999999991</v>
      </c>
      <c r="N21" s="623">
        <f>N22*SQRT(9.81*C4)/0.5144</f>
        <v>16.230872965215244</v>
      </c>
    </row>
    <row r="22" spans="1:15" x14ac:dyDescent="0.25">
      <c r="A22" s="15" t="s">
        <v>42</v>
      </c>
      <c r="B22" s="802" t="s">
        <v>28</v>
      </c>
      <c r="C22" s="87">
        <v>0.12</v>
      </c>
      <c r="D22" s="348">
        <f t="shared" ref="D22:M22" si="0">D21*0.5144/SQRT(9.81*$C4)</f>
        <v>5.323188727135366E-2</v>
      </c>
      <c r="E22" s="19">
        <f t="shared" si="0"/>
        <v>7.2947401075558735E-2</v>
      </c>
      <c r="F22" s="19">
        <f t="shared" si="0"/>
        <v>9.2662914879763802E-2</v>
      </c>
      <c r="G22" s="19">
        <f t="shared" si="0"/>
        <v>0.11237842868396887</v>
      </c>
      <c r="H22" s="19">
        <f t="shared" si="0"/>
        <v>0.13209394248817394</v>
      </c>
      <c r="I22" s="19">
        <f t="shared" si="0"/>
        <v>0.15180945629237902</v>
      </c>
      <c r="J22" s="813">
        <f t="shared" si="0"/>
        <v>0.17132781495854202</v>
      </c>
      <c r="K22" s="813">
        <f t="shared" si="0"/>
        <v>0.17152497009658407</v>
      </c>
      <c r="L22" s="813">
        <f t="shared" si="0"/>
        <v>0.17172212523462613</v>
      </c>
      <c r="M22" s="238">
        <f t="shared" si="0"/>
        <v>0.18157988213672865</v>
      </c>
      <c r="N22" s="353">
        <f>J9</f>
        <v>0.32</v>
      </c>
    </row>
    <row r="23" spans="1:15" x14ac:dyDescent="0.25">
      <c r="A23" s="15" t="s">
        <v>43</v>
      </c>
      <c r="B23" s="802" t="s">
        <v>28</v>
      </c>
      <c r="C23" s="87">
        <f t="shared" ref="C23:N23" si="1">75/(LOG10(C21*0.5144*$C4*1000000/((43.4233-31.38*$C3)*($K12+20)^(1.72*$C3-2.202)+4.7478-5.779*$C3))-2)^2</f>
        <v>1.9126129181791665</v>
      </c>
      <c r="D23" s="348">
        <f t="shared" si="1"/>
        <v>2.1479597029117121</v>
      </c>
      <c r="E23" s="19">
        <f t="shared" si="1"/>
        <v>2.0518294794261012</v>
      </c>
      <c r="F23" s="19">
        <f t="shared" si="1"/>
        <v>1.9830867541888559</v>
      </c>
      <c r="G23" s="19">
        <f t="shared" si="1"/>
        <v>1.9301408782783898</v>
      </c>
      <c r="H23" s="19">
        <f t="shared" si="1"/>
        <v>1.8873913638984945</v>
      </c>
      <c r="I23" s="19">
        <f t="shared" si="1"/>
        <v>1.8517269657123241</v>
      </c>
      <c r="J23" s="813">
        <f t="shared" si="1"/>
        <v>1.821533485664651</v>
      </c>
      <c r="K23" s="813">
        <f t="shared" si="1"/>
        <v>1.8212499425080182</v>
      </c>
      <c r="L23" s="813">
        <f t="shared" si="1"/>
        <v>1.8209667911620118</v>
      </c>
      <c r="M23" s="238">
        <f t="shared" si="1"/>
        <v>1.807287733652317</v>
      </c>
      <c r="N23" s="17">
        <f t="shared" si="1"/>
        <v>1.6767381901925182</v>
      </c>
    </row>
    <row r="24" spans="1:15" x14ac:dyDescent="0.25">
      <c r="A24" s="15" t="s">
        <v>44</v>
      </c>
      <c r="B24" s="802" t="s">
        <v>28</v>
      </c>
      <c r="C24" s="87">
        <f>IF(C22&gt;0.12,C48,$C48+(C22-0.12)*2.5)</f>
        <v>0.66817570679746718</v>
      </c>
      <c r="D24" s="267">
        <f t="shared" ref="D24:M24" si="2">D48</f>
        <v>0.66817570679746718</v>
      </c>
      <c r="E24" s="239">
        <f t="shared" si="2"/>
        <v>0.66817570679746718</v>
      </c>
      <c r="F24" s="239">
        <f t="shared" si="2"/>
        <v>0.66817570679746718</v>
      </c>
      <c r="G24" s="239">
        <f t="shared" si="2"/>
        <v>0.66817570679746718</v>
      </c>
      <c r="H24" s="239">
        <f t="shared" si="2"/>
        <v>0.70797288361985444</v>
      </c>
      <c r="I24" s="239">
        <f t="shared" si="2"/>
        <v>0.7931759528599841</v>
      </c>
      <c r="J24" s="813">
        <f t="shared" si="2"/>
        <v>0.95231337147621464</v>
      </c>
      <c r="K24" s="813">
        <f t="shared" si="2"/>
        <v>0.95433633892920822</v>
      </c>
      <c r="L24" s="813">
        <f t="shared" si="2"/>
        <v>0.95636736416841761</v>
      </c>
      <c r="M24" s="240">
        <f t="shared" si="2"/>
        <v>1.0680152478733682</v>
      </c>
      <c r="N24" s="353">
        <f>N64+N65+N117</f>
        <v>18.899439531596212</v>
      </c>
      <c r="O24" s="551" t="s">
        <v>483</v>
      </c>
    </row>
    <row r="25" spans="1:15" x14ac:dyDescent="0.25">
      <c r="A25" s="15" t="s">
        <v>45</v>
      </c>
      <c r="B25" s="802" t="s">
        <v>28</v>
      </c>
      <c r="C25" s="87">
        <f t="shared" ref="C25:N25" si="3">IF($C17=1,0,0.3)</f>
        <v>0</v>
      </c>
      <c r="D25" s="348">
        <f t="shared" si="3"/>
        <v>0</v>
      </c>
      <c r="E25" s="19">
        <f t="shared" si="3"/>
        <v>0</v>
      </c>
      <c r="F25" s="19">
        <f t="shared" si="3"/>
        <v>0</v>
      </c>
      <c r="G25" s="19">
        <f t="shared" si="3"/>
        <v>0</v>
      </c>
      <c r="H25" s="19">
        <f t="shared" si="3"/>
        <v>0</v>
      </c>
      <c r="I25" s="19">
        <f t="shared" si="3"/>
        <v>0</v>
      </c>
      <c r="J25" s="813">
        <f t="shared" si="3"/>
        <v>0</v>
      </c>
      <c r="K25" s="813">
        <f t="shared" si="3"/>
        <v>0</v>
      </c>
      <c r="L25" s="813">
        <f t="shared" si="3"/>
        <v>0</v>
      </c>
      <c r="M25" s="238">
        <f t="shared" si="3"/>
        <v>0</v>
      </c>
      <c r="N25" s="17">
        <f t="shared" si="3"/>
        <v>0</v>
      </c>
    </row>
    <row r="26" spans="1:15" x14ac:dyDescent="0.25">
      <c r="A26" s="15" t="s">
        <v>46</v>
      </c>
      <c r="B26" s="802" t="s">
        <v>28</v>
      </c>
      <c r="C26" s="87">
        <f t="shared" ref="C26:N26" si="4">$K13*MAX(-0.4,-0.1-1.6*C22)</f>
        <v>-0.29200000000000004</v>
      </c>
      <c r="D26" s="267">
        <f t="shared" si="4"/>
        <v>-0.18517101963416588</v>
      </c>
      <c r="E26" s="239">
        <f t="shared" si="4"/>
        <v>-0.21671584172089398</v>
      </c>
      <c r="F26" s="239">
        <f t="shared" si="4"/>
        <v>-0.2482606638076221</v>
      </c>
      <c r="G26" s="239">
        <f t="shared" si="4"/>
        <v>-0.27980548589435017</v>
      </c>
      <c r="H26" s="239">
        <f t="shared" si="4"/>
        <v>-0.31135030798107832</v>
      </c>
      <c r="I26" s="239">
        <f t="shared" si="4"/>
        <v>-0.34289513006780648</v>
      </c>
      <c r="J26" s="813">
        <f t="shared" si="4"/>
        <v>-0.37412450393366725</v>
      </c>
      <c r="K26" s="813">
        <f t="shared" si="4"/>
        <v>-0.37443995215453452</v>
      </c>
      <c r="L26" s="813">
        <f t="shared" si="4"/>
        <v>-0.37475540037540178</v>
      </c>
      <c r="M26" s="240">
        <f t="shared" si="4"/>
        <v>-0.39052781141876591</v>
      </c>
      <c r="N26" s="351">
        <f t="shared" si="4"/>
        <v>-0.4</v>
      </c>
    </row>
    <row r="27" spans="1:15" x14ac:dyDescent="0.25">
      <c r="A27" s="15" t="s">
        <v>47</v>
      </c>
      <c r="B27" s="802" t="s">
        <v>28</v>
      </c>
      <c r="C27" s="87">
        <f>IF('Ship data'!$C3&lt;55000,0.07,IF('Ship data'!$C3&lt;170000,0.05,0.04))</f>
        <v>7.0000000000000007E-2</v>
      </c>
      <c r="D27" s="267">
        <f>IF('Ship data'!$C3&lt;55000,0.07,IF('Ship data'!$C3&lt;170000,0.05,0.04))</f>
        <v>7.0000000000000007E-2</v>
      </c>
      <c r="E27" s="239">
        <f>IF('Ship data'!$C3&lt;55000,0.07,IF('Ship data'!$C3&lt;170000,0.05,0.04))</f>
        <v>7.0000000000000007E-2</v>
      </c>
      <c r="F27" s="239">
        <f>IF('Ship data'!$C3&lt;55000,0.07,IF('Ship data'!$C3&lt;170000,0.05,0.04))</f>
        <v>7.0000000000000007E-2</v>
      </c>
      <c r="G27" s="239">
        <f>IF('Ship data'!$C3&lt;55000,0.07,IF('Ship data'!$C3&lt;170000,0.05,0.04))</f>
        <v>7.0000000000000007E-2</v>
      </c>
      <c r="H27" s="239">
        <f>IF('Ship data'!$C3&lt;55000,0.07,IF('Ship data'!$C3&lt;170000,0.05,0.04))</f>
        <v>7.0000000000000007E-2</v>
      </c>
      <c r="I27" s="239">
        <f>IF('Ship data'!$C3&lt;55000,0.07,IF('Ship data'!$C3&lt;170000,0.05,0.04))</f>
        <v>7.0000000000000007E-2</v>
      </c>
      <c r="J27" s="813">
        <f>IF('Ship data'!$C3&lt;55000,0.07,IF('Ship data'!$C3&lt;170000,0.05,0.04))</f>
        <v>7.0000000000000007E-2</v>
      </c>
      <c r="K27" s="813">
        <f>IF('Ship data'!$C3&lt;55000,0.07,IF('Ship data'!$C3&lt;170000,0.05,0.04))</f>
        <v>7.0000000000000007E-2</v>
      </c>
      <c r="L27" s="813">
        <f>IF('Ship data'!$C3&lt;55000,0.07,IF('Ship data'!$C3&lt;170000,0.05,0.04))</f>
        <v>7.0000000000000007E-2</v>
      </c>
      <c r="M27" s="240">
        <f>IF('Ship data'!$C3&lt;55000,0.07,IF('Ship data'!$C3&lt;170000,0.05,0.04))</f>
        <v>7.0000000000000007E-2</v>
      </c>
      <c r="N27" s="351">
        <f>IF('Ship data'!$C3&lt;55000,0.07,IF('Ship data'!$C3&lt;170000,0.05,0.04))</f>
        <v>7.0000000000000007E-2</v>
      </c>
    </row>
    <row r="28" spans="1:15" x14ac:dyDescent="0.25">
      <c r="A28" s="15" t="s">
        <v>48</v>
      </c>
      <c r="B28" s="802" t="s">
        <v>28</v>
      </c>
      <c r="C28" s="87">
        <f>MAX(0.5*LOG10($C7)-0.1*(LOG10($C7))^2,'PS1'!$K19)</f>
        <v>0.54573446169865503</v>
      </c>
      <c r="D28" s="348">
        <f>MAX(0.5*LOG10($C7)-0.1*(LOG10($C7))^2,'PS1'!$K19)</f>
        <v>0.54573446169865503</v>
      </c>
      <c r="E28" s="19">
        <f>MAX(0.5*LOG10($C7)-0.1*(LOG10($C7))^2,'PS1'!$K19)</f>
        <v>0.54573446169865503</v>
      </c>
      <c r="F28" s="19">
        <f>MAX(0.5*LOG10($C7)-0.1*(LOG10($C7))^2,'PS1'!$K19)</f>
        <v>0.54573446169865503</v>
      </c>
      <c r="G28" s="19">
        <f>MAX(0.5*LOG10($C7)-0.1*(LOG10($C7))^2,'PS1'!$K19)</f>
        <v>0.54573446169865503</v>
      </c>
      <c r="H28" s="19">
        <f>MAX(0.5*LOG10($C7)-0.1*(LOG10($C7))^2,'PS1'!$K19)</f>
        <v>0.54573446169865503</v>
      </c>
      <c r="I28" s="19">
        <f>MAX(0.5*LOG10($C7)-0.1*(LOG10($C7))^2,'PS1'!$K19)</f>
        <v>0.54573446169865503</v>
      </c>
      <c r="J28" s="813">
        <f>MAX(0.5*LOG10($C7)-0.1*(LOG10($C7))^2,'PS1'!$K19)</f>
        <v>0.54573446169865503</v>
      </c>
      <c r="K28" s="813">
        <f>MAX(0.5*LOG10($C7)-0.1*(LOG10($C7))^2,'PS1'!$K19)</f>
        <v>0.54573446169865503</v>
      </c>
      <c r="L28" s="813">
        <f>MAX(0.5*LOG10($C7)-0.1*(LOG10($C7))^2,'PS1'!$K19)</f>
        <v>0.54573446169865503</v>
      </c>
      <c r="M28" s="240">
        <f>MAX(0.5*LOG10($C7)-0.1*(LOG10($C7))^2,'PS1'!$K19)</f>
        <v>0.54573446169865503</v>
      </c>
      <c r="N28" s="351">
        <f>MAX(0.5*LOG10($C7)-0.1*(LOG10($C7))^2,'PS1'!$K19)</f>
        <v>0.54573446169865503</v>
      </c>
    </row>
    <row r="29" spans="1:15" x14ac:dyDescent="0.25">
      <c r="A29" s="15" t="s">
        <v>49</v>
      </c>
      <c r="B29" s="802" t="s">
        <v>28</v>
      </c>
      <c r="C29" s="87">
        <f t="shared" ref="C29:N29" si="5">C23+C24+C25+C26+C27+C28</f>
        <v>2.9045230866752885</v>
      </c>
      <c r="D29" s="348">
        <f t="shared" si="5"/>
        <v>3.2466988517736688</v>
      </c>
      <c r="E29" s="19">
        <f t="shared" si="5"/>
        <v>3.1190238062013291</v>
      </c>
      <c r="F29" s="19">
        <f t="shared" si="5"/>
        <v>3.0187362588773556</v>
      </c>
      <c r="G29" s="19">
        <f t="shared" si="5"/>
        <v>2.9342455608801616</v>
      </c>
      <c r="H29" s="19">
        <f t="shared" si="5"/>
        <v>2.8997484012359251</v>
      </c>
      <c r="I29" s="19">
        <f t="shared" si="5"/>
        <v>2.9177422502031565</v>
      </c>
      <c r="J29" s="813">
        <f t="shared" si="5"/>
        <v>3.0154568149058534</v>
      </c>
      <c r="K29" s="813">
        <f t="shared" si="5"/>
        <v>3.0168807909813466</v>
      </c>
      <c r="L29" s="813">
        <f t="shared" si="5"/>
        <v>3.0183132166536826</v>
      </c>
      <c r="M29" s="238">
        <f t="shared" si="5"/>
        <v>3.1005096318055738</v>
      </c>
      <c r="N29" s="353">
        <f t="shared" si="5"/>
        <v>20.791912183487387</v>
      </c>
    </row>
    <row r="30" spans="1:15" x14ac:dyDescent="0.25">
      <c r="A30" s="15" t="s">
        <v>50</v>
      </c>
      <c r="B30" s="802" t="s">
        <v>51</v>
      </c>
      <c r="C30" s="633">
        <f t="shared" ref="C30:N30" si="6">$K11</f>
        <v>15</v>
      </c>
      <c r="D30" s="824">
        <f t="shared" si="6"/>
        <v>15</v>
      </c>
      <c r="E30" s="241">
        <f t="shared" si="6"/>
        <v>15</v>
      </c>
      <c r="F30" s="241">
        <f t="shared" si="6"/>
        <v>15</v>
      </c>
      <c r="G30" s="241">
        <f t="shared" si="6"/>
        <v>15</v>
      </c>
      <c r="H30" s="241">
        <f t="shared" si="6"/>
        <v>15</v>
      </c>
      <c r="I30" s="241">
        <f t="shared" si="6"/>
        <v>15</v>
      </c>
      <c r="J30" s="814">
        <f t="shared" si="6"/>
        <v>15</v>
      </c>
      <c r="K30" s="814">
        <f t="shared" si="6"/>
        <v>15</v>
      </c>
      <c r="L30" s="814">
        <f t="shared" si="6"/>
        <v>15</v>
      </c>
      <c r="M30" s="242">
        <f t="shared" si="6"/>
        <v>15</v>
      </c>
      <c r="N30" s="24">
        <f t="shared" si="6"/>
        <v>15</v>
      </c>
    </row>
    <row r="31" spans="1:15" x14ac:dyDescent="0.25">
      <c r="A31" s="733" t="s">
        <v>263</v>
      </c>
      <c r="B31" s="734" t="s">
        <v>53</v>
      </c>
      <c r="C31" s="735">
        <f t="shared" ref="C31:M31" si="7">0.00062*$N15*$N14*((C21*0.5144+$N17)^2-(C21*0.5144)^2)</f>
        <v>0</v>
      </c>
      <c r="D31" s="736">
        <f t="shared" si="7"/>
        <v>0</v>
      </c>
      <c r="E31" s="736">
        <f t="shared" si="7"/>
        <v>0</v>
      </c>
      <c r="F31" s="736">
        <f t="shared" si="7"/>
        <v>0</v>
      </c>
      <c r="G31" s="736">
        <f t="shared" si="7"/>
        <v>0</v>
      </c>
      <c r="H31" s="736">
        <f t="shared" si="7"/>
        <v>0</v>
      </c>
      <c r="I31" s="736">
        <f t="shared" si="7"/>
        <v>0</v>
      </c>
      <c r="J31" s="736">
        <f t="shared" si="7"/>
        <v>0</v>
      </c>
      <c r="K31" s="736">
        <f t="shared" si="7"/>
        <v>0</v>
      </c>
      <c r="L31" s="736">
        <f t="shared" si="7"/>
        <v>0</v>
      </c>
      <c r="M31" s="815">
        <f t="shared" si="7"/>
        <v>0</v>
      </c>
      <c r="N31" s="804"/>
    </row>
    <row r="32" spans="1:15" x14ac:dyDescent="0.25">
      <c r="A32" s="733" t="s">
        <v>485</v>
      </c>
      <c r="B32" s="734" t="s">
        <v>53</v>
      </c>
      <c r="C32" s="735">
        <f t="shared" ref="C32:M32" si="8">1336*(5.3+C21*0.5144)*($C5*$C6/$C4*1.02)^0.75*$N18^2/1000</f>
        <v>0</v>
      </c>
      <c r="D32" s="736">
        <f t="shared" si="8"/>
        <v>0</v>
      </c>
      <c r="E32" s="736">
        <f t="shared" si="8"/>
        <v>0</v>
      </c>
      <c r="F32" s="736">
        <f t="shared" si="8"/>
        <v>0</v>
      </c>
      <c r="G32" s="736">
        <f t="shared" si="8"/>
        <v>0</v>
      </c>
      <c r="H32" s="736">
        <f t="shared" si="8"/>
        <v>0</v>
      </c>
      <c r="I32" s="736">
        <f t="shared" si="8"/>
        <v>0</v>
      </c>
      <c r="J32" s="736">
        <f t="shared" si="8"/>
        <v>0</v>
      </c>
      <c r="K32" s="736">
        <f t="shared" si="8"/>
        <v>0</v>
      </c>
      <c r="L32" s="736">
        <f t="shared" si="8"/>
        <v>0</v>
      </c>
      <c r="M32" s="815">
        <f t="shared" si="8"/>
        <v>0</v>
      </c>
      <c r="N32" s="805"/>
    </row>
    <row r="33" spans="1:14" x14ac:dyDescent="0.25">
      <c r="A33" s="733" t="s">
        <v>486</v>
      </c>
      <c r="B33" s="734" t="s">
        <v>53</v>
      </c>
      <c r="C33" s="735">
        <f>C31+C32</f>
        <v>0</v>
      </c>
      <c r="D33" s="736">
        <f t="shared" ref="D33:M33" si="9">D31+D32</f>
        <v>0</v>
      </c>
      <c r="E33" s="736">
        <f t="shared" si="9"/>
        <v>0</v>
      </c>
      <c r="F33" s="736">
        <f t="shared" si="9"/>
        <v>0</v>
      </c>
      <c r="G33" s="736">
        <f t="shared" si="9"/>
        <v>0</v>
      </c>
      <c r="H33" s="736">
        <f t="shared" si="9"/>
        <v>0</v>
      </c>
      <c r="I33" s="736">
        <f t="shared" si="9"/>
        <v>0</v>
      </c>
      <c r="J33" s="736">
        <f t="shared" si="9"/>
        <v>0</v>
      </c>
      <c r="K33" s="736">
        <f t="shared" si="9"/>
        <v>0</v>
      </c>
      <c r="L33" s="736">
        <f t="shared" si="9"/>
        <v>0</v>
      </c>
      <c r="M33" s="815">
        <f t="shared" si="9"/>
        <v>0</v>
      </c>
      <c r="N33" s="804"/>
    </row>
    <row r="34" spans="1:14" x14ac:dyDescent="0.25">
      <c r="A34" s="733" t="s">
        <v>486</v>
      </c>
      <c r="B34" s="734" t="s">
        <v>51</v>
      </c>
      <c r="C34" s="740">
        <f>C33*100/(C35-C33)</f>
        <v>0</v>
      </c>
      <c r="D34" s="741">
        <f t="shared" ref="D34:M34" si="10">D33*100/(D35-D33)</f>
        <v>0</v>
      </c>
      <c r="E34" s="741">
        <f t="shared" si="10"/>
        <v>0</v>
      </c>
      <c r="F34" s="741">
        <f t="shared" si="10"/>
        <v>0</v>
      </c>
      <c r="G34" s="741">
        <f t="shared" si="10"/>
        <v>0</v>
      </c>
      <c r="H34" s="741">
        <f t="shared" si="10"/>
        <v>0</v>
      </c>
      <c r="I34" s="741">
        <f t="shared" si="10"/>
        <v>0</v>
      </c>
      <c r="J34" s="741">
        <f t="shared" si="10"/>
        <v>0</v>
      </c>
      <c r="K34" s="741">
        <f t="shared" si="10"/>
        <v>0</v>
      </c>
      <c r="L34" s="741">
        <f t="shared" si="10"/>
        <v>0</v>
      </c>
      <c r="M34" s="816">
        <f t="shared" si="10"/>
        <v>0</v>
      </c>
      <c r="N34" s="806"/>
    </row>
    <row r="35" spans="1:14" x14ac:dyDescent="0.25">
      <c r="A35" s="744" t="s">
        <v>301</v>
      </c>
      <c r="B35" s="803" t="s">
        <v>53</v>
      </c>
      <c r="C35" s="835">
        <f>$C9*$C3*C29*C21^2*0.0001323*(1+C30/100)+C33</f>
        <v>18.656280785879904</v>
      </c>
      <c r="D35" s="747">
        <f t="shared" ref="D35:M35" si="11">$C9*$C3*D29*D21^2*0.0001323*(1+D30/100)+D33</f>
        <v>4.1036799239030719</v>
      </c>
      <c r="E35" s="747">
        <f t="shared" si="11"/>
        <v>7.4033124977025757</v>
      </c>
      <c r="F35" s="747">
        <f t="shared" si="11"/>
        <v>11.561783452655057</v>
      </c>
      <c r="G35" s="747">
        <f t="shared" si="11"/>
        <v>16.529134418001604</v>
      </c>
      <c r="H35" s="747">
        <f t="shared" si="11"/>
        <v>22.569080569715375</v>
      </c>
      <c r="I35" s="747">
        <f t="shared" si="11"/>
        <v>29.993857127525331</v>
      </c>
      <c r="J35" s="747">
        <f t="shared" si="11"/>
        <v>39.481769616030917</v>
      </c>
      <c r="K35" s="747">
        <f t="shared" si="11"/>
        <v>39.591376271446826</v>
      </c>
      <c r="L35" s="747">
        <f t="shared" si="11"/>
        <v>39.701284601249746</v>
      </c>
      <c r="M35" s="817">
        <f t="shared" si="11"/>
        <v>45.599101902721529</v>
      </c>
      <c r="N35" s="807">
        <f>$C9*$C3*N29*N21^2*0.0001323*(1+N30/100)+N33</f>
        <v>949.69058688732161</v>
      </c>
    </row>
    <row r="36" spans="1:14" x14ac:dyDescent="0.25">
      <c r="A36" s="15" t="s">
        <v>55</v>
      </c>
      <c r="B36" s="802" t="s">
        <v>56</v>
      </c>
      <c r="C36" s="633">
        <f t="shared" ref="C36:N36" si="12">C35*C21*0.5144</f>
        <v>58.411609851383631</v>
      </c>
      <c r="D36" s="824">
        <f t="shared" si="12"/>
        <v>5.6995189727104973</v>
      </c>
      <c r="E36" s="241">
        <f t="shared" si="12"/>
        <v>14.090576610627354</v>
      </c>
      <c r="F36" s="241">
        <f t="shared" si="12"/>
        <v>27.952692617815071</v>
      </c>
      <c r="G36" s="241">
        <f t="shared" si="12"/>
        <v>48.46474444433413</v>
      </c>
      <c r="H36" s="241">
        <f t="shared" si="12"/>
        <v>77.783884801912635</v>
      </c>
      <c r="I36" s="241">
        <f t="shared" si="12"/>
        <v>118.80206881927251</v>
      </c>
      <c r="J36" s="814">
        <f t="shared" si="12"/>
        <v>176.48887970432597</v>
      </c>
      <c r="K36" s="814">
        <f t="shared" si="12"/>
        <v>177.18249440008051</v>
      </c>
      <c r="L36" s="814">
        <f t="shared" si="12"/>
        <v>177.87858835826978</v>
      </c>
      <c r="M36" s="242">
        <f t="shared" si="12"/>
        <v>216.03139955277916</v>
      </c>
      <c r="N36" s="607">
        <f t="shared" si="12"/>
        <v>7929.1196607316288</v>
      </c>
    </row>
    <row r="37" spans="1:14" x14ac:dyDescent="0.25">
      <c r="A37" s="15" t="s">
        <v>57</v>
      </c>
      <c r="B37" s="802" t="s">
        <v>28</v>
      </c>
      <c r="C37" s="87">
        <f t="shared" ref="C37:N37" si="13">$K5*$K6*$K7*C41</f>
        <v>0.65199101723285213</v>
      </c>
      <c r="D37" s="348">
        <f t="shared" si="13"/>
        <v>0.63821712913602979</v>
      </c>
      <c r="E37" s="19">
        <f t="shared" si="13"/>
        <v>0.64325200915896308</v>
      </c>
      <c r="F37" s="19">
        <f t="shared" si="13"/>
        <v>0.64729291612623741</v>
      </c>
      <c r="G37" s="19">
        <f t="shared" si="13"/>
        <v>0.65075832571385595</v>
      </c>
      <c r="H37" s="19">
        <f t="shared" si="13"/>
        <v>0.65218970994783787</v>
      </c>
      <c r="I37" s="19">
        <f t="shared" si="13"/>
        <v>0.65144188790330948</v>
      </c>
      <c r="J37" s="813">
        <f t="shared" si="13"/>
        <v>0.64742636961965627</v>
      </c>
      <c r="K37" s="813">
        <f t="shared" si="13"/>
        <v>0.64736841207420925</v>
      </c>
      <c r="L37" s="813">
        <f t="shared" si="13"/>
        <v>0.64731012664816023</v>
      </c>
      <c r="M37" s="238">
        <f t="shared" si="13"/>
        <v>0.64399220630896936</v>
      </c>
      <c r="N37" s="17">
        <f t="shared" si="13"/>
        <v>0.34321489324509402</v>
      </c>
    </row>
    <row r="38" spans="1:14" x14ac:dyDescent="0.25">
      <c r="A38" s="15" t="s">
        <v>58</v>
      </c>
      <c r="B38" s="802" t="s">
        <v>56</v>
      </c>
      <c r="C38" s="635">
        <f t="shared" ref="C38:N38" si="14">C36/C37</f>
        <v>89.589592966006308</v>
      </c>
      <c r="D38" s="825">
        <f t="shared" si="14"/>
        <v>8.9303760624947124</v>
      </c>
      <c r="E38" s="245">
        <f t="shared" si="14"/>
        <v>21.90521974280415</v>
      </c>
      <c r="F38" s="245">
        <f t="shared" si="14"/>
        <v>43.183992781968954</v>
      </c>
      <c r="G38" s="245">
        <f t="shared" si="14"/>
        <v>74.47425953585801</v>
      </c>
      <c r="H38" s="245">
        <f t="shared" si="14"/>
        <v>119.26573451785032</v>
      </c>
      <c r="I38" s="245">
        <f t="shared" si="14"/>
        <v>182.36786891558583</v>
      </c>
      <c r="J38" s="818">
        <f t="shared" si="14"/>
        <v>272.60069713874634</v>
      </c>
      <c r="K38" s="818">
        <f t="shared" si="14"/>
        <v>273.69653986109182</v>
      </c>
      <c r="L38" s="818">
        <f t="shared" si="14"/>
        <v>274.79654810800469</v>
      </c>
      <c r="M38" s="246">
        <f t="shared" si="14"/>
        <v>335.45654347427518</v>
      </c>
      <c r="N38" s="624">
        <f t="shared" si="14"/>
        <v>23102.492976810729</v>
      </c>
    </row>
    <row r="39" spans="1:14" x14ac:dyDescent="0.25">
      <c r="A39" s="35" t="s">
        <v>59</v>
      </c>
      <c r="B39" s="354" t="s">
        <v>28</v>
      </c>
      <c r="C39" s="630">
        <f t="shared" ref="C39:N39" si="15">2.54648*C35/(1-$K4)/$C17/$C3/(C42*$C18)^2/$K7</f>
        <v>1.212896530180505</v>
      </c>
      <c r="D39" s="826">
        <f t="shared" si="15"/>
        <v>1.3557853232163175</v>
      </c>
      <c r="E39" s="247">
        <f t="shared" si="15"/>
        <v>1.3024696444820896</v>
      </c>
      <c r="F39" s="247">
        <f t="shared" si="15"/>
        <v>1.2605906803493596</v>
      </c>
      <c r="G39" s="247">
        <f t="shared" si="15"/>
        <v>1.2253083047664439</v>
      </c>
      <c r="H39" s="247">
        <f t="shared" si="15"/>
        <v>1.2109026746561078</v>
      </c>
      <c r="I39" s="247">
        <f t="shared" si="15"/>
        <v>1.2184167058156699</v>
      </c>
      <c r="J39" s="819">
        <f t="shared" si="15"/>
        <v>1.2592212210284113</v>
      </c>
      <c r="K39" s="819">
        <f t="shared" si="15"/>
        <v>1.2598158575967862</v>
      </c>
      <c r="L39" s="819">
        <f t="shared" si="15"/>
        <v>1.260414022622806</v>
      </c>
      <c r="M39" s="248">
        <f t="shared" si="15"/>
        <v>1.2947383312118363</v>
      </c>
      <c r="N39" s="20">
        <f t="shared" si="15"/>
        <v>8.682471232148588</v>
      </c>
    </row>
    <row r="40" spans="1:14" x14ac:dyDescent="0.25">
      <c r="A40" s="35" t="s">
        <v>60</v>
      </c>
      <c r="B40" s="609" t="s">
        <v>28</v>
      </c>
      <c r="C40" s="630">
        <f t="shared" ref="C40:N40" si="16">(1.3+0.3*$C19)*C35/(1-$K4)/$C17/(99.6+$C3*9.81*0.65*$C18)/$C18^2+C75</f>
        <v>0.25385904015478988</v>
      </c>
      <c r="D40" s="826">
        <f t="shared" si="16"/>
        <v>0.21184696265780803</v>
      </c>
      <c r="E40" s="247">
        <f t="shared" si="16"/>
        <v>0.22137271140312198</v>
      </c>
      <c r="F40" s="247">
        <f t="shared" si="16"/>
        <v>0.23337785094384045</v>
      </c>
      <c r="G40" s="247">
        <f t="shared" si="16"/>
        <v>0.2477181558618507</v>
      </c>
      <c r="H40" s="247">
        <f t="shared" si="16"/>
        <v>0.26515494865305533</v>
      </c>
      <c r="I40" s="247">
        <f t="shared" si="16"/>
        <v>0.28658962490804019</v>
      </c>
      <c r="J40" s="819">
        <f t="shared" si="16"/>
        <v>0.31398039295921115</v>
      </c>
      <c r="K40" s="819">
        <f t="shared" si="16"/>
        <v>0.31429681772377333</v>
      </c>
      <c r="L40" s="819">
        <f t="shared" si="16"/>
        <v>0.31461411339573175</v>
      </c>
      <c r="M40" s="248">
        <f t="shared" si="16"/>
        <v>0.33164059270912194</v>
      </c>
      <c r="N40" s="20">
        <f t="shared" si="16"/>
        <v>2.9416731148527155</v>
      </c>
    </row>
    <row r="41" spans="1:14" ht="13.8" thickBot="1" x14ac:dyDescent="0.3">
      <c r="A41" s="35" t="s">
        <v>61</v>
      </c>
      <c r="B41" s="354" t="s">
        <v>28</v>
      </c>
      <c r="C41" s="636">
        <f t="shared" ref="C41:M41" si="17">(1+$K15/100)*IF($K14=1,MAX(0.69,0.81-0.014*C39),IF(C39&lt;7,-0.000205*C39^4+0.00518*C39^3-0.0462*C39^2+0.177*C39+0.59,0.85))/(1+SQRT(1+C39))*2</f>
        <v>0.63758287567807126</v>
      </c>
      <c r="D41" s="409">
        <f t="shared" si="17"/>
        <v>0.62411337234148834</v>
      </c>
      <c r="E41" s="268">
        <f t="shared" si="17"/>
        <v>0.62903698815653486</v>
      </c>
      <c r="F41" s="268">
        <f t="shared" si="17"/>
        <v>0.63298859640947824</v>
      </c>
      <c r="G41" s="268">
        <f t="shared" si="17"/>
        <v>0.6363774250158194</v>
      </c>
      <c r="H41" s="268">
        <f t="shared" si="17"/>
        <v>0.63777717754611618</v>
      </c>
      <c r="I41" s="268">
        <f t="shared" si="17"/>
        <v>0.63704588138245211</v>
      </c>
      <c r="J41" s="820">
        <f t="shared" si="17"/>
        <v>0.63311910075670741</v>
      </c>
      <c r="K41" s="820">
        <f t="shared" si="17"/>
        <v>0.63306242399657331</v>
      </c>
      <c r="L41" s="820">
        <f t="shared" si="17"/>
        <v>0.63300542660156589</v>
      </c>
      <c r="M41" s="270">
        <f t="shared" si="17"/>
        <v>0.62976082792578914</v>
      </c>
      <c r="N41" s="625">
        <f>IF($K14=1,MAX(0.69,0.81-0.014*N39),IF(N39&lt;7,-0.000205*N39^4+0.00518*N39^3-0.0462*N39^2+0.177*N39+0.59,0.85))/(1+SQRT(1+N39))*2</f>
        <v>0.33563029677845552</v>
      </c>
    </row>
    <row r="42" spans="1:14" ht="13.8" thickTop="1" x14ac:dyDescent="0.25">
      <c r="A42" s="50" t="s">
        <v>62</v>
      </c>
      <c r="B42" s="608" t="s">
        <v>63</v>
      </c>
      <c r="C42" s="629">
        <f t="shared" ref="C42:N42" si="18">C21*0.5144*(1-$K3)</f>
        <v>2.2981653559697044</v>
      </c>
      <c r="D42" s="827">
        <f t="shared" si="18"/>
        <v>1.0194639929992473</v>
      </c>
      <c r="E42" s="637">
        <f t="shared" si="18"/>
        <v>1.3970432496656353</v>
      </c>
      <c r="F42" s="637">
        <f t="shared" si="18"/>
        <v>1.7746225063320233</v>
      </c>
      <c r="G42" s="637">
        <f t="shared" si="18"/>
        <v>2.1522017629984114</v>
      </c>
      <c r="H42" s="637">
        <f t="shared" si="18"/>
        <v>2.5297810196647994</v>
      </c>
      <c r="I42" s="637">
        <f t="shared" si="18"/>
        <v>2.9073602763311874</v>
      </c>
      <c r="J42" s="637">
        <f t="shared" si="18"/>
        <v>3.2811637404309115</v>
      </c>
      <c r="K42" s="637">
        <f t="shared" si="18"/>
        <v>3.2849395329975755</v>
      </c>
      <c r="L42" s="637">
        <f t="shared" si="18"/>
        <v>3.2887153255642394</v>
      </c>
      <c r="M42" s="264">
        <f t="shared" si="18"/>
        <v>3.4775049538974332</v>
      </c>
      <c r="N42" s="808">
        <f t="shared" si="18"/>
        <v>6.1284409492525453</v>
      </c>
    </row>
    <row r="43" spans="1:14" x14ac:dyDescent="0.25">
      <c r="A43" s="35" t="s">
        <v>64</v>
      </c>
      <c r="B43" s="354" t="s">
        <v>63</v>
      </c>
      <c r="C43" s="630">
        <f t="shared" ref="C43:N43" si="19">C42*SQRT(1+C39)</f>
        <v>3.4187065766170162</v>
      </c>
      <c r="D43" s="826">
        <f t="shared" si="19"/>
        <v>1.5647312176701746</v>
      </c>
      <c r="E43" s="247">
        <f t="shared" si="19"/>
        <v>2.1198581825530134</v>
      </c>
      <c r="F43" s="247">
        <f t="shared" si="19"/>
        <v>2.6681912246206778</v>
      </c>
      <c r="G43" s="247">
        <f t="shared" si="19"/>
        <v>3.2105399410273288</v>
      </c>
      <c r="H43" s="247">
        <f t="shared" si="19"/>
        <v>3.7615578244296408</v>
      </c>
      <c r="I43" s="247">
        <f t="shared" si="19"/>
        <v>4.3303242376893456</v>
      </c>
      <c r="J43" s="247">
        <f t="shared" si="19"/>
        <v>4.9318207437805155</v>
      </c>
      <c r="K43" s="247">
        <f t="shared" si="19"/>
        <v>4.9381457687239116</v>
      </c>
      <c r="L43" s="247">
        <f t="shared" si="19"/>
        <v>4.9444760608617306</v>
      </c>
      <c r="M43" s="248">
        <f t="shared" si="19"/>
        <v>5.267861429958888</v>
      </c>
      <c r="N43" s="809">
        <f t="shared" si="19"/>
        <v>19.069667180869608</v>
      </c>
    </row>
    <row r="44" spans="1:14" x14ac:dyDescent="0.25">
      <c r="A44" s="35" t="s">
        <v>65</v>
      </c>
      <c r="B44" s="354" t="s">
        <v>63</v>
      </c>
      <c r="C44" s="630">
        <f t="shared" ref="C44:N44" si="20">C43-C42</f>
        <v>1.1205412206473118</v>
      </c>
      <c r="D44" s="826">
        <f t="shared" si="20"/>
        <v>0.54526722467092736</v>
      </c>
      <c r="E44" s="247">
        <f t="shared" si="20"/>
        <v>0.72281493288737808</v>
      </c>
      <c r="F44" s="247">
        <f t="shared" si="20"/>
        <v>0.89356871828865447</v>
      </c>
      <c r="G44" s="247">
        <f t="shared" si="20"/>
        <v>1.0583381780289174</v>
      </c>
      <c r="H44" s="247">
        <f t="shared" si="20"/>
        <v>1.2317768047648414</v>
      </c>
      <c r="I44" s="247">
        <f t="shared" si="20"/>
        <v>1.4229639613581582</v>
      </c>
      <c r="J44" s="247">
        <f t="shared" si="20"/>
        <v>1.650657003349604</v>
      </c>
      <c r="K44" s="247">
        <f t="shared" si="20"/>
        <v>1.6532062357263362</v>
      </c>
      <c r="L44" s="247">
        <f t="shared" si="20"/>
        <v>1.6557607352974912</v>
      </c>
      <c r="M44" s="248">
        <f t="shared" si="20"/>
        <v>1.7903564760614548</v>
      </c>
      <c r="N44" s="809">
        <f t="shared" si="20"/>
        <v>12.941226231617062</v>
      </c>
    </row>
    <row r="45" spans="1:14" x14ac:dyDescent="0.25">
      <c r="A45" s="35" t="s">
        <v>66</v>
      </c>
      <c r="B45" s="354" t="s">
        <v>28</v>
      </c>
      <c r="C45" s="630">
        <f t="shared" ref="C45:N45" si="21">C43/C42</f>
        <v>1.487580764254669</v>
      </c>
      <c r="D45" s="826">
        <f t="shared" si="21"/>
        <v>1.5348567761248337</v>
      </c>
      <c r="E45" s="247">
        <f t="shared" si="21"/>
        <v>1.5173890880331549</v>
      </c>
      <c r="F45" s="247">
        <f t="shared" si="21"/>
        <v>1.5035260823641736</v>
      </c>
      <c r="G45" s="247">
        <f t="shared" si="21"/>
        <v>1.4917467294304501</v>
      </c>
      <c r="H45" s="247">
        <f t="shared" si="21"/>
        <v>1.4869104460780775</v>
      </c>
      <c r="I45" s="247">
        <f t="shared" si="21"/>
        <v>1.4894350290682941</v>
      </c>
      <c r="J45" s="247">
        <f t="shared" si="21"/>
        <v>1.5030705974864957</v>
      </c>
      <c r="K45" s="247">
        <f t="shared" si="21"/>
        <v>1.5032683917374123</v>
      </c>
      <c r="L45" s="247">
        <f t="shared" si="21"/>
        <v>1.5034673334072828</v>
      </c>
      <c r="M45" s="248">
        <f t="shared" si="21"/>
        <v>1.5148393747232201</v>
      </c>
      <c r="N45" s="809">
        <f t="shared" si="21"/>
        <v>3.111666953924952</v>
      </c>
    </row>
    <row r="46" spans="1:14" x14ac:dyDescent="0.25">
      <c r="A46" s="35" t="s">
        <v>67</v>
      </c>
      <c r="B46" s="354" t="s">
        <v>63</v>
      </c>
      <c r="C46" s="630">
        <f t="shared" ref="C46:N46" si="22">C42+0.5*C44</f>
        <v>2.8584359662933601</v>
      </c>
      <c r="D46" s="826">
        <f t="shared" si="22"/>
        <v>1.2920976053347109</v>
      </c>
      <c r="E46" s="247">
        <f t="shared" si="22"/>
        <v>1.7584507161093244</v>
      </c>
      <c r="F46" s="247">
        <f t="shared" si="22"/>
        <v>2.2214068654763506</v>
      </c>
      <c r="G46" s="247">
        <f t="shared" si="22"/>
        <v>2.6813708520128703</v>
      </c>
      <c r="H46" s="247">
        <f t="shared" si="22"/>
        <v>3.1456694220472201</v>
      </c>
      <c r="I46" s="247">
        <f t="shared" si="22"/>
        <v>3.6188422570102663</v>
      </c>
      <c r="J46" s="247">
        <f t="shared" si="22"/>
        <v>4.1064922421057135</v>
      </c>
      <c r="K46" s="247">
        <f t="shared" si="22"/>
        <v>4.1115426508607431</v>
      </c>
      <c r="L46" s="247">
        <f t="shared" si="22"/>
        <v>4.116595693212985</v>
      </c>
      <c r="M46" s="248">
        <f t="shared" si="22"/>
        <v>4.3726831919281608</v>
      </c>
      <c r="N46" s="809">
        <f t="shared" si="22"/>
        <v>12.599054065061075</v>
      </c>
    </row>
    <row r="47" spans="1:14" x14ac:dyDescent="0.25">
      <c r="A47" s="35" t="s">
        <v>68</v>
      </c>
      <c r="B47" s="354" t="s">
        <v>69</v>
      </c>
      <c r="C47" s="631">
        <f t="shared" ref="C47:N47" si="23">0.785*$C18^2*C46</f>
        <v>21.196650439891499</v>
      </c>
      <c r="D47" s="828">
        <f t="shared" si="23"/>
        <v>9.5815129663429097</v>
      </c>
      <c r="E47" s="253">
        <f t="shared" si="23"/>
        <v>13.039741167782694</v>
      </c>
      <c r="F47" s="253">
        <f t="shared" si="23"/>
        <v>16.472779298721161</v>
      </c>
      <c r="G47" s="253">
        <f t="shared" si="23"/>
        <v>19.883629131469508</v>
      </c>
      <c r="H47" s="253">
        <f t="shared" si="23"/>
        <v>23.326621944606245</v>
      </c>
      <c r="I47" s="253">
        <f t="shared" si="23"/>
        <v>26.835421616396694</v>
      </c>
      <c r="J47" s="253">
        <f t="shared" si="23"/>
        <v>30.451576182381348</v>
      </c>
      <c r="K47" s="253">
        <f t="shared" si="23"/>
        <v>30.489027344562796</v>
      </c>
      <c r="L47" s="253">
        <f t="shared" si="23"/>
        <v>30.526498036109309</v>
      </c>
      <c r="M47" s="244">
        <f t="shared" si="23"/>
        <v>32.425507584093232</v>
      </c>
      <c r="N47" s="607">
        <f t="shared" si="23"/>
        <v>93.427926334378341</v>
      </c>
    </row>
    <row r="48" spans="1:14" ht="13.8" thickBot="1" x14ac:dyDescent="0.3">
      <c r="A48" s="35" t="s">
        <v>70</v>
      </c>
      <c r="B48" s="354" t="s">
        <v>28</v>
      </c>
      <c r="C48" s="632">
        <f>C64+C65+C117</f>
        <v>0.66817570679746718</v>
      </c>
      <c r="D48" s="829">
        <f t="shared" ref="D48:N48" si="24">D64+D65+D117</f>
        <v>0.66817570679746718</v>
      </c>
      <c r="E48" s="638">
        <f t="shared" si="24"/>
        <v>0.66817570679746718</v>
      </c>
      <c r="F48" s="638">
        <f t="shared" si="24"/>
        <v>0.66817570679746718</v>
      </c>
      <c r="G48" s="638">
        <f t="shared" si="24"/>
        <v>0.66817570679746718</v>
      </c>
      <c r="H48" s="638">
        <f t="shared" si="24"/>
        <v>0.70797288361985444</v>
      </c>
      <c r="I48" s="638">
        <f t="shared" si="24"/>
        <v>0.7931759528599841</v>
      </c>
      <c r="J48" s="638">
        <f t="shared" si="24"/>
        <v>0.95231337147621464</v>
      </c>
      <c r="K48" s="638">
        <f t="shared" si="24"/>
        <v>0.95433633892920822</v>
      </c>
      <c r="L48" s="638">
        <f t="shared" si="24"/>
        <v>0.95636736416841761</v>
      </c>
      <c r="M48" s="266">
        <f t="shared" si="24"/>
        <v>1.0680152478733682</v>
      </c>
      <c r="N48" s="836">
        <f t="shared" si="24"/>
        <v>18.899439531596212</v>
      </c>
    </row>
    <row r="49" spans="1:14" x14ac:dyDescent="0.25">
      <c r="A49" s="50"/>
      <c r="B49" s="55" t="s">
        <v>71</v>
      </c>
      <c r="C49" s="54">
        <f t="shared" ref="C49:N49" si="25">1.35-0.23*$C13+0.012*$C13^2</f>
        <v>0.48001206892545667</v>
      </c>
      <c r="D49" s="54">
        <f t="shared" si="25"/>
        <v>0.48001206892545667</v>
      </c>
      <c r="E49" s="54">
        <f t="shared" si="25"/>
        <v>0.48001206892545667</v>
      </c>
      <c r="F49" s="54">
        <f t="shared" si="25"/>
        <v>0.48001206892545667</v>
      </c>
      <c r="G49" s="54">
        <f t="shared" si="25"/>
        <v>0.48001206892545667</v>
      </c>
      <c r="H49" s="54">
        <f t="shared" si="25"/>
        <v>0.48001206892545667</v>
      </c>
      <c r="I49" s="54">
        <f t="shared" si="25"/>
        <v>0.48001206892545667</v>
      </c>
      <c r="J49" s="54">
        <f t="shared" si="25"/>
        <v>0.48001206892545667</v>
      </c>
      <c r="K49" s="54">
        <f t="shared" si="25"/>
        <v>0.48001206892545667</v>
      </c>
      <c r="L49" s="54">
        <f t="shared" si="25"/>
        <v>0.48001206892545667</v>
      </c>
      <c r="M49" s="54">
        <f t="shared" si="25"/>
        <v>0.48001206892545667</v>
      </c>
      <c r="N49" s="57">
        <f t="shared" si="25"/>
        <v>0.48001206892545667</v>
      </c>
    </row>
    <row r="50" spans="1:14" x14ac:dyDescent="0.25">
      <c r="A50" s="35"/>
      <c r="B50" s="53" t="s">
        <v>72</v>
      </c>
      <c r="C50" s="43">
        <f t="shared" ref="C50:N50" si="26">0.0011*$C13^9.1</f>
        <v>3515.2608674703433</v>
      </c>
      <c r="D50" s="43">
        <f t="shared" si="26"/>
        <v>3515.2608674703433</v>
      </c>
      <c r="E50" s="43">
        <f t="shared" si="26"/>
        <v>3515.2608674703433</v>
      </c>
      <c r="F50" s="43">
        <f t="shared" si="26"/>
        <v>3515.2608674703433</v>
      </c>
      <c r="G50" s="43">
        <f t="shared" si="26"/>
        <v>3515.2608674703433</v>
      </c>
      <c r="H50" s="43">
        <f t="shared" si="26"/>
        <v>3515.2608674703433</v>
      </c>
      <c r="I50" s="43">
        <f t="shared" si="26"/>
        <v>3515.2608674703433</v>
      </c>
      <c r="J50" s="43">
        <f t="shared" si="26"/>
        <v>3515.2608674703433</v>
      </c>
      <c r="K50" s="43">
        <f t="shared" si="26"/>
        <v>3515.2608674703433</v>
      </c>
      <c r="L50" s="43">
        <f t="shared" si="26"/>
        <v>3515.2608674703433</v>
      </c>
      <c r="M50" s="43">
        <f t="shared" si="26"/>
        <v>3515.2608674703433</v>
      </c>
      <c r="N50" s="46">
        <f t="shared" si="26"/>
        <v>3515.2608674703433</v>
      </c>
    </row>
    <row r="51" spans="1:14" x14ac:dyDescent="0.25">
      <c r="A51" s="35"/>
      <c r="B51" s="53" t="s">
        <v>73</v>
      </c>
      <c r="C51" s="42">
        <f t="shared" ref="C51:N51" si="27">2*$C13-3.7</f>
        <v>6.6709214403505195</v>
      </c>
      <c r="D51" s="42">
        <f t="shared" si="27"/>
        <v>6.6709214403505195</v>
      </c>
      <c r="E51" s="42">
        <f t="shared" si="27"/>
        <v>6.6709214403505195</v>
      </c>
      <c r="F51" s="42">
        <f t="shared" si="27"/>
        <v>6.6709214403505195</v>
      </c>
      <c r="G51" s="42">
        <f t="shared" si="27"/>
        <v>6.6709214403505195</v>
      </c>
      <c r="H51" s="42">
        <f t="shared" si="27"/>
        <v>6.6709214403505195</v>
      </c>
      <c r="I51" s="42">
        <f t="shared" si="27"/>
        <v>6.6709214403505195</v>
      </c>
      <c r="J51" s="42">
        <f t="shared" si="27"/>
        <v>6.6709214403505195</v>
      </c>
      <c r="K51" s="42">
        <f t="shared" si="27"/>
        <v>6.6709214403505195</v>
      </c>
      <c r="L51" s="42">
        <f t="shared" si="27"/>
        <v>6.6709214403505195</v>
      </c>
      <c r="M51" s="42">
        <f t="shared" si="27"/>
        <v>6.6709214403505195</v>
      </c>
      <c r="N51" s="56">
        <f t="shared" si="27"/>
        <v>6.6709214403505195</v>
      </c>
    </row>
    <row r="52" spans="1:14" x14ac:dyDescent="0.25">
      <c r="A52" s="35"/>
      <c r="B52" s="53" t="s">
        <v>74</v>
      </c>
      <c r="C52" s="42">
        <f t="shared" ref="C52:N52" si="28">7-0.09*$C13^2</f>
        <v>4.5799897407567531</v>
      </c>
      <c r="D52" s="42">
        <f t="shared" si="28"/>
        <v>4.5799897407567531</v>
      </c>
      <c r="E52" s="42">
        <f t="shared" si="28"/>
        <v>4.5799897407567531</v>
      </c>
      <c r="F52" s="42">
        <f t="shared" si="28"/>
        <v>4.5799897407567531</v>
      </c>
      <c r="G52" s="42">
        <f t="shared" si="28"/>
        <v>4.5799897407567531</v>
      </c>
      <c r="H52" s="42">
        <f t="shared" si="28"/>
        <v>4.5799897407567531</v>
      </c>
      <c r="I52" s="42">
        <f t="shared" si="28"/>
        <v>4.5799897407567531</v>
      </c>
      <c r="J52" s="42">
        <f t="shared" si="28"/>
        <v>4.5799897407567531</v>
      </c>
      <c r="K52" s="42">
        <f t="shared" si="28"/>
        <v>4.5799897407567531</v>
      </c>
      <c r="L52" s="42">
        <f t="shared" si="28"/>
        <v>4.5799897407567531</v>
      </c>
      <c r="M52" s="42">
        <f t="shared" si="28"/>
        <v>4.5799897407567531</v>
      </c>
      <c r="N52" s="56">
        <f t="shared" si="28"/>
        <v>4.5799897407567531</v>
      </c>
    </row>
    <row r="53" spans="1:14" x14ac:dyDescent="0.25">
      <c r="A53" s="35"/>
      <c r="B53" s="53" t="s">
        <v>75</v>
      </c>
      <c r="C53" s="42">
        <f t="shared" ref="C53:N53" si="29">(5*$C12-2.5)^2</f>
        <v>1.8268761418717794</v>
      </c>
      <c r="D53" s="42">
        <f t="shared" si="29"/>
        <v>1.8268761418717794</v>
      </c>
      <c r="E53" s="42">
        <f t="shared" si="29"/>
        <v>1.8268761418717794</v>
      </c>
      <c r="F53" s="42">
        <f t="shared" si="29"/>
        <v>1.8268761418717794</v>
      </c>
      <c r="G53" s="42">
        <f t="shared" si="29"/>
        <v>1.8268761418717794</v>
      </c>
      <c r="H53" s="42">
        <f t="shared" si="29"/>
        <v>1.8268761418717794</v>
      </c>
      <c r="I53" s="42">
        <f t="shared" si="29"/>
        <v>1.8268761418717794</v>
      </c>
      <c r="J53" s="42">
        <f t="shared" si="29"/>
        <v>1.8268761418717794</v>
      </c>
      <c r="K53" s="42">
        <f t="shared" si="29"/>
        <v>1.8268761418717794</v>
      </c>
      <c r="L53" s="42">
        <f t="shared" si="29"/>
        <v>1.8268761418717794</v>
      </c>
      <c r="M53" s="42">
        <f t="shared" si="29"/>
        <v>1.8268761418717794</v>
      </c>
      <c r="N53" s="56">
        <f t="shared" si="29"/>
        <v>1.8268761418717794</v>
      </c>
    </row>
    <row r="54" spans="1:14" x14ac:dyDescent="0.25">
      <c r="A54" s="35"/>
      <c r="B54" s="53" t="s">
        <v>76</v>
      </c>
      <c r="C54" s="42">
        <f t="shared" ref="C54:N54" si="30">(600*(C22-0.315)^2+1)^1.5</f>
        <v>116.21866402766382</v>
      </c>
      <c r="D54" s="42">
        <f t="shared" si="30"/>
        <v>273.29546241583762</v>
      </c>
      <c r="E54" s="42">
        <f t="shared" si="30"/>
        <v>217.38456246735646</v>
      </c>
      <c r="F54" s="42">
        <f t="shared" si="30"/>
        <v>169.77115865014798</v>
      </c>
      <c r="G54" s="42">
        <f t="shared" si="30"/>
        <v>129.77970965709736</v>
      </c>
      <c r="H54" s="42">
        <f t="shared" si="30"/>
        <v>96.734771773564887</v>
      </c>
      <c r="I54" s="42">
        <f t="shared" si="30"/>
        <v>69.961055060850114</v>
      </c>
      <c r="J54" s="42">
        <f t="shared" si="30"/>
        <v>48.969812584235903</v>
      </c>
      <c r="K54" s="42">
        <f t="shared" si="30"/>
        <v>48.783522832597932</v>
      </c>
      <c r="L54" s="42">
        <f t="shared" si="30"/>
        <v>48.597725233365239</v>
      </c>
      <c r="M54" s="42">
        <f t="shared" si="30"/>
        <v>39.920439453522164</v>
      </c>
      <c r="N54" s="56">
        <f t="shared" si="30"/>
        <v>1.0225841652402019</v>
      </c>
    </row>
    <row r="55" spans="1:14" x14ac:dyDescent="0.25">
      <c r="A55" s="35"/>
      <c r="B55" s="53" t="s">
        <v>77</v>
      </c>
      <c r="C55" s="42">
        <f t="shared" ref="C55:N55" si="31">C52*C53/C54</f>
        <v>7.1994236531701936E-2</v>
      </c>
      <c r="D55" s="42">
        <f t="shared" si="31"/>
        <v>3.061548813670004E-2</v>
      </c>
      <c r="E55" s="42">
        <f t="shared" si="31"/>
        <v>3.8489734010723371E-2</v>
      </c>
      <c r="F55" s="42">
        <f t="shared" si="31"/>
        <v>4.9284425304820377E-2</v>
      </c>
      <c r="G55" s="42">
        <f t="shared" si="31"/>
        <v>6.4471356959523385E-2</v>
      </c>
      <c r="H55" s="42">
        <f t="shared" si="31"/>
        <v>8.649499899572341E-2</v>
      </c>
      <c r="I55" s="42">
        <f t="shared" si="31"/>
        <v>0.11959616646902463</v>
      </c>
      <c r="J55" s="42">
        <f t="shared" si="31"/>
        <v>0.17086187481345419</v>
      </c>
      <c r="K55" s="42">
        <f t="shared" si="31"/>
        <v>0.17151434545057118</v>
      </c>
      <c r="L55" s="42">
        <f t="shared" si="31"/>
        <v>0.17217007477670029</v>
      </c>
      <c r="M55" s="42">
        <f t="shared" si="31"/>
        <v>0.20959373448650262</v>
      </c>
      <c r="N55" s="56">
        <f t="shared" si="31"/>
        <v>8.1822839349762742</v>
      </c>
    </row>
    <row r="56" spans="1:14" x14ac:dyDescent="0.25">
      <c r="A56" s="35"/>
      <c r="B56" s="53"/>
      <c r="C56" s="42">
        <f t="shared" ref="C56:N56" si="32">C22-(0.04+0.59*$C12)-0.015*($C13-5)</f>
        <v>-0.37727304973963272</v>
      </c>
      <c r="D56" s="42">
        <f t="shared" si="32"/>
        <v>-0.44404116246827907</v>
      </c>
      <c r="E56" s="42">
        <f t="shared" si="32"/>
        <v>-0.42432564866407396</v>
      </c>
      <c r="F56" s="42">
        <f t="shared" si="32"/>
        <v>-0.40461013485986891</v>
      </c>
      <c r="G56" s="42">
        <f t="shared" si="32"/>
        <v>-0.38489462105566385</v>
      </c>
      <c r="H56" s="42">
        <f t="shared" si="32"/>
        <v>-0.36517910725145875</v>
      </c>
      <c r="I56" s="42">
        <f t="shared" si="32"/>
        <v>-0.34546359344725369</v>
      </c>
      <c r="J56" s="42">
        <f t="shared" si="32"/>
        <v>-0.32594523478109072</v>
      </c>
      <c r="K56" s="42">
        <f t="shared" si="32"/>
        <v>-0.32574807964304864</v>
      </c>
      <c r="L56" s="42">
        <f t="shared" si="32"/>
        <v>-0.32555092450500656</v>
      </c>
      <c r="M56" s="42">
        <f t="shared" si="32"/>
        <v>-0.31569316760290406</v>
      </c>
      <c r="N56" s="56">
        <f t="shared" si="32"/>
        <v>-0.1772730497396327</v>
      </c>
    </row>
    <row r="57" spans="1:14" x14ac:dyDescent="0.25">
      <c r="A57" s="18"/>
      <c r="B57" s="53" t="s">
        <v>78</v>
      </c>
      <c r="C57" s="42">
        <f t="shared" ref="C57:N57" si="33">EXP(80*C56)</f>
        <v>7.8017441895773083E-14</v>
      </c>
      <c r="D57" s="42">
        <f t="shared" si="33"/>
        <v>3.7361979014445969E-16</v>
      </c>
      <c r="E57" s="42">
        <f t="shared" si="33"/>
        <v>1.8089100865618152E-15</v>
      </c>
      <c r="F57" s="42">
        <f t="shared" si="33"/>
        <v>8.7579828145610224E-15</v>
      </c>
      <c r="G57" s="42">
        <f t="shared" si="33"/>
        <v>4.2402474036690903E-14</v>
      </c>
      <c r="H57" s="42">
        <f t="shared" si="33"/>
        <v>2.0529496831655735E-13</v>
      </c>
      <c r="I57" s="42">
        <f t="shared" si="33"/>
        <v>9.9395200335780274E-13</v>
      </c>
      <c r="J57" s="42">
        <f t="shared" si="33"/>
        <v>4.7369919921067331E-12</v>
      </c>
      <c r="K57" s="42">
        <f t="shared" si="33"/>
        <v>4.8122980951760161E-12</v>
      </c>
      <c r="L57" s="42">
        <f t="shared" si="33"/>
        <v>4.8888013734081126E-12</v>
      </c>
      <c r="M57" s="42">
        <f t="shared" si="33"/>
        <v>1.0757118351815119E-11</v>
      </c>
      <c r="N57" s="56">
        <f t="shared" si="33"/>
        <v>6.9327161121314084E-7</v>
      </c>
    </row>
    <row r="58" spans="1:14" x14ac:dyDescent="0.25">
      <c r="A58" s="18"/>
      <c r="B58" s="53"/>
      <c r="C58" s="42">
        <f t="shared" ref="C58:N58" si="34">20*$C12-16</f>
        <v>-0.59352071399987061</v>
      </c>
      <c r="D58" s="42">
        <f t="shared" si="34"/>
        <v>-0.59352071399987061</v>
      </c>
      <c r="E58" s="42">
        <f t="shared" si="34"/>
        <v>-0.59352071399987061</v>
      </c>
      <c r="F58" s="42">
        <f t="shared" si="34"/>
        <v>-0.59352071399987061</v>
      </c>
      <c r="G58" s="42">
        <f t="shared" si="34"/>
        <v>-0.59352071399987061</v>
      </c>
      <c r="H58" s="42">
        <f t="shared" si="34"/>
        <v>-0.59352071399987061</v>
      </c>
      <c r="I58" s="42">
        <f t="shared" si="34"/>
        <v>-0.59352071399987061</v>
      </c>
      <c r="J58" s="42">
        <f t="shared" si="34"/>
        <v>-0.59352071399987061</v>
      </c>
      <c r="K58" s="42">
        <f t="shared" si="34"/>
        <v>-0.59352071399987061</v>
      </c>
      <c r="L58" s="42">
        <f t="shared" si="34"/>
        <v>-0.59352071399987061</v>
      </c>
      <c r="M58" s="42">
        <f t="shared" si="34"/>
        <v>-0.59352071399987061</v>
      </c>
      <c r="N58" s="56">
        <f t="shared" si="34"/>
        <v>-0.59352071399987061</v>
      </c>
    </row>
    <row r="59" spans="1:14" x14ac:dyDescent="0.25">
      <c r="A59" s="18"/>
      <c r="B59" s="53" t="s">
        <v>79</v>
      </c>
      <c r="C59" s="42">
        <f t="shared" ref="C59:N59" si="35">180*C22^3.7*EXP(C58)</f>
        <v>3.894756802294673E-2</v>
      </c>
      <c r="D59" s="42">
        <f t="shared" si="35"/>
        <v>1.9246228173741072E-3</v>
      </c>
      <c r="E59" s="42">
        <f t="shared" si="35"/>
        <v>6.1751296736959329E-3</v>
      </c>
      <c r="F59" s="42">
        <f t="shared" si="35"/>
        <v>1.4964485068017435E-2</v>
      </c>
      <c r="G59" s="42">
        <f t="shared" si="35"/>
        <v>3.0551790608410734E-2</v>
      </c>
      <c r="H59" s="42">
        <f t="shared" si="35"/>
        <v>5.5561821239932356E-2</v>
      </c>
      <c r="I59" s="42">
        <f t="shared" si="35"/>
        <v>9.2964125010596768E-2</v>
      </c>
      <c r="J59" s="42">
        <f t="shared" si="35"/>
        <v>0.14543631958171258</v>
      </c>
      <c r="K59" s="42">
        <f t="shared" si="35"/>
        <v>0.14605651623722951</v>
      </c>
      <c r="L59" s="42">
        <f t="shared" si="35"/>
        <v>0.14667864063060926</v>
      </c>
      <c r="M59" s="42">
        <f t="shared" si="35"/>
        <v>0.18032682435286501</v>
      </c>
      <c r="N59" s="56">
        <f t="shared" si="35"/>
        <v>1.4674545322321628</v>
      </c>
    </row>
    <row r="60" spans="1:14" x14ac:dyDescent="0.25">
      <c r="A60" s="18"/>
      <c r="B60" s="53"/>
      <c r="C60" s="42">
        <f t="shared" ref="C60:N60" si="36">C49+1.5*C22^1.8+C50*C22^(C51)</f>
        <v>0.51555068174937724</v>
      </c>
      <c r="D60" s="42">
        <f t="shared" si="36"/>
        <v>0.48766513360845259</v>
      </c>
      <c r="E60" s="42">
        <f t="shared" si="36"/>
        <v>0.49357790396190288</v>
      </c>
      <c r="F60" s="42">
        <f t="shared" si="36"/>
        <v>0.50118947396329128</v>
      </c>
      <c r="G60" s="42">
        <f t="shared" si="36"/>
        <v>0.5109762154787002</v>
      </c>
      <c r="H60" s="42">
        <f t="shared" si="36"/>
        <v>0.52404984385110887</v>
      </c>
      <c r="I60" s="42">
        <f t="shared" si="36"/>
        <v>0.54255883193893883</v>
      </c>
      <c r="J60" s="42">
        <f t="shared" si="36"/>
        <v>0.56989048807728582</v>
      </c>
      <c r="K60" s="42">
        <f t="shared" si="36"/>
        <v>0.57022997217622717</v>
      </c>
      <c r="L60" s="42">
        <f t="shared" si="36"/>
        <v>0.57057094666642905</v>
      </c>
      <c r="M60" s="42">
        <f t="shared" si="36"/>
        <v>0.58969101740860108</v>
      </c>
      <c r="N60" s="56">
        <f t="shared" si="36"/>
        <v>2.4302493509711995</v>
      </c>
    </row>
    <row r="61" spans="1:14" x14ac:dyDescent="0.25">
      <c r="A61" s="35"/>
      <c r="B61" s="53"/>
      <c r="C61" s="42">
        <f t="shared" ref="C61:N61" si="37">0.98+2.5/($C13-2)^4</f>
        <v>1.0042801291201329</v>
      </c>
      <c r="D61" s="42">
        <f t="shared" si="37"/>
        <v>1.0042801291201329</v>
      </c>
      <c r="E61" s="42">
        <f t="shared" si="37"/>
        <v>1.0042801291201329</v>
      </c>
      <c r="F61" s="42">
        <f t="shared" si="37"/>
        <v>1.0042801291201329</v>
      </c>
      <c r="G61" s="42">
        <f t="shared" si="37"/>
        <v>1.0042801291201329</v>
      </c>
      <c r="H61" s="42">
        <f t="shared" si="37"/>
        <v>1.0042801291201329</v>
      </c>
      <c r="I61" s="42">
        <f t="shared" si="37"/>
        <v>1.0042801291201329</v>
      </c>
      <c r="J61" s="42">
        <f t="shared" si="37"/>
        <v>1.0042801291201329</v>
      </c>
      <c r="K61" s="42">
        <f t="shared" si="37"/>
        <v>1.0042801291201329</v>
      </c>
      <c r="L61" s="42">
        <f t="shared" si="37"/>
        <v>1.0042801291201329</v>
      </c>
      <c r="M61" s="42">
        <f t="shared" si="37"/>
        <v>1.0042801291201329</v>
      </c>
      <c r="N61" s="56">
        <f t="shared" si="37"/>
        <v>1.0042801291201329</v>
      </c>
    </row>
    <row r="62" spans="1:14" x14ac:dyDescent="0.25">
      <c r="A62" s="35"/>
      <c r="B62" s="53"/>
      <c r="C62" s="42">
        <f t="shared" ref="C62:N62" si="38">($C13-5)^4*(C22-0.1)^4</f>
        <v>1.8929003442475211E-10</v>
      </c>
      <c r="D62" s="42">
        <f t="shared" si="38"/>
        <v>5.6598790021013806E-9</v>
      </c>
      <c r="E62" s="42">
        <f t="shared" si="38"/>
        <v>6.3364168884500272E-10</v>
      </c>
      <c r="F62" s="42">
        <f t="shared" si="38"/>
        <v>3.4284829782163517E-12</v>
      </c>
      <c r="G62" s="42">
        <f t="shared" si="38"/>
        <v>2.7776008932444217E-11</v>
      </c>
      <c r="H62" s="42">
        <f t="shared" si="38"/>
        <v>1.25516276633157E-9</v>
      </c>
      <c r="I62" s="42">
        <f t="shared" si="38"/>
        <v>8.5240091299919415E-9</v>
      </c>
      <c r="J62" s="42">
        <f t="shared" si="38"/>
        <v>3.0622697769036554E-8</v>
      </c>
      <c r="K62" s="42">
        <f t="shared" si="38"/>
        <v>3.0962677349922331E-8</v>
      </c>
      <c r="L62" s="42">
        <f t="shared" si="38"/>
        <v>3.1305479997465587E-8</v>
      </c>
      <c r="M62" s="42">
        <f t="shared" si="38"/>
        <v>5.240105872551136E-8</v>
      </c>
      <c r="N62" s="56">
        <f t="shared" si="38"/>
        <v>2.7713953940128015E-6</v>
      </c>
    </row>
    <row r="63" spans="1:14" x14ac:dyDescent="0.25">
      <c r="A63" s="35"/>
      <c r="B63" s="53" t="s">
        <v>80</v>
      </c>
      <c r="C63" s="42">
        <f t="shared" ref="C63:N63" si="39">C60*C61+C62</f>
        <v>0.51775730542452714</v>
      </c>
      <c r="D63" s="42">
        <f t="shared" si="39"/>
        <v>0.48975240900756262</v>
      </c>
      <c r="E63" s="42">
        <f t="shared" si="39"/>
        <v>0.49569048175534608</v>
      </c>
      <c r="F63" s="42">
        <f t="shared" si="39"/>
        <v>0.50333462962893416</v>
      </c>
      <c r="G63" s="42">
        <f t="shared" si="39"/>
        <v>0.51316325968604193</v>
      </c>
      <c r="H63" s="42">
        <f t="shared" si="39"/>
        <v>0.52629284610333982</v>
      </c>
      <c r="I63" s="42">
        <f t="shared" si="39"/>
        <v>0.54488106231891509</v>
      </c>
      <c r="J63" s="42">
        <f t="shared" si="39"/>
        <v>0.57232972357328993</v>
      </c>
      <c r="K63" s="42">
        <f t="shared" si="39"/>
        <v>0.57267066104798847</v>
      </c>
      <c r="L63" s="42">
        <f t="shared" si="39"/>
        <v>0.57301309529583777</v>
      </c>
      <c r="M63" s="42">
        <f t="shared" si="39"/>
        <v>0.59221502350515109</v>
      </c>
      <c r="N63" s="56">
        <f t="shared" si="39"/>
        <v>2.4406539033828696</v>
      </c>
    </row>
    <row r="64" spans="1:14" x14ac:dyDescent="0.25">
      <c r="A64" s="35"/>
      <c r="B64" s="53" t="s">
        <v>81</v>
      </c>
      <c r="C64" s="42">
        <f t="shared" ref="C64:N64" si="40">0.16*($C5/$C6-2.5)</f>
        <v>0.11919286246002671</v>
      </c>
      <c r="D64" s="42">
        <f t="shared" si="40"/>
        <v>0.11919286246002671</v>
      </c>
      <c r="E64" s="42">
        <f t="shared" si="40"/>
        <v>0.11919286246002671</v>
      </c>
      <c r="F64" s="42">
        <f t="shared" si="40"/>
        <v>0.11919286246002671</v>
      </c>
      <c r="G64" s="42">
        <f t="shared" si="40"/>
        <v>0.11919286246002671</v>
      </c>
      <c r="H64" s="42">
        <f t="shared" si="40"/>
        <v>0.11919286246002671</v>
      </c>
      <c r="I64" s="42">
        <f t="shared" si="40"/>
        <v>0.11919286246002671</v>
      </c>
      <c r="J64" s="42">
        <f t="shared" si="40"/>
        <v>0.11919286246002671</v>
      </c>
      <c r="K64" s="42">
        <f t="shared" si="40"/>
        <v>0.11919286246002671</v>
      </c>
      <c r="L64" s="42">
        <f t="shared" si="40"/>
        <v>0.11919286246002671</v>
      </c>
      <c r="M64" s="42">
        <f t="shared" si="40"/>
        <v>0.11919286246002671</v>
      </c>
      <c r="N64" s="56">
        <f t="shared" si="40"/>
        <v>0.11919286246002671</v>
      </c>
    </row>
    <row r="65" spans="1:15" x14ac:dyDescent="0.25">
      <c r="A65" s="35"/>
      <c r="B65" s="53" t="s">
        <v>82</v>
      </c>
      <c r="C65" s="42">
        <f t="shared" ref="C65:N65" si="41">($C15-$C14)/3*0.1</f>
        <v>0</v>
      </c>
      <c r="D65" s="42">
        <f t="shared" si="41"/>
        <v>0</v>
      </c>
      <c r="E65" s="42">
        <f t="shared" si="41"/>
        <v>0</v>
      </c>
      <c r="F65" s="42">
        <f t="shared" si="41"/>
        <v>0</v>
      </c>
      <c r="G65" s="42">
        <f t="shared" si="41"/>
        <v>0</v>
      </c>
      <c r="H65" s="42">
        <f t="shared" si="41"/>
        <v>0</v>
      </c>
      <c r="I65" s="42">
        <f t="shared" si="41"/>
        <v>0</v>
      </c>
      <c r="J65" s="42">
        <f t="shared" si="41"/>
        <v>0</v>
      </c>
      <c r="K65" s="42">
        <f t="shared" si="41"/>
        <v>0</v>
      </c>
      <c r="L65" s="42">
        <f t="shared" si="41"/>
        <v>0</v>
      </c>
      <c r="M65" s="42">
        <f t="shared" si="41"/>
        <v>0</v>
      </c>
      <c r="N65" s="56">
        <f t="shared" si="41"/>
        <v>0</v>
      </c>
    </row>
    <row r="66" spans="1:15" x14ac:dyDescent="0.25">
      <c r="A66" s="35"/>
      <c r="B66" s="53" t="s">
        <v>83</v>
      </c>
      <c r="C66" s="53">
        <f>0.1*C5/C4+0.149</f>
        <v>0.16643404365847386</v>
      </c>
      <c r="D66" s="53" t="s">
        <v>84</v>
      </c>
      <c r="E66" s="53">
        <f>0.625*C5/C4+0.08</f>
        <v>0.18896277286546165</v>
      </c>
      <c r="F66" s="53"/>
      <c r="G66" s="53"/>
      <c r="H66" s="53"/>
      <c r="I66" s="53"/>
      <c r="J66" s="53"/>
      <c r="K66" s="53"/>
      <c r="L66" s="53"/>
      <c r="M66" s="53"/>
      <c r="N66" s="58"/>
    </row>
    <row r="67" spans="1:15" x14ac:dyDescent="0.25">
      <c r="A67" s="35"/>
      <c r="B67" s="53" t="s">
        <v>85</v>
      </c>
      <c r="C67" s="53">
        <f>0.05*C5/C4+0.449</f>
        <v>0.45771702182923696</v>
      </c>
      <c r="D67" s="53" t="s">
        <v>86</v>
      </c>
      <c r="E67" s="53">
        <f>0.165-0.25*C5/C4</f>
        <v>0.12141489085381535</v>
      </c>
      <c r="F67" s="53"/>
      <c r="G67" s="53"/>
      <c r="H67" s="53"/>
      <c r="I67" s="53"/>
      <c r="J67" s="53"/>
      <c r="K67" s="53"/>
      <c r="L67" s="53"/>
      <c r="M67" s="53"/>
      <c r="N67" s="58"/>
    </row>
    <row r="68" spans="1:15" x14ac:dyDescent="0.25">
      <c r="A68" s="35"/>
      <c r="B68" s="53" t="s">
        <v>87</v>
      </c>
      <c r="C68" s="53">
        <f>585-5027*C5/C4+11700*(C5/C4)^2</f>
        <v>64.207302882638999</v>
      </c>
      <c r="D68" s="53" t="s">
        <v>88</v>
      </c>
      <c r="E68" s="53">
        <f>825-8060*C5/C4+20300*(C5/C4)^2</f>
        <v>36.826214046719201</v>
      </c>
      <c r="F68" s="53"/>
      <c r="G68" s="53"/>
      <c r="H68" s="53"/>
      <c r="I68" s="53"/>
      <c r="J68" s="53"/>
      <c r="K68" s="53"/>
      <c r="L68" s="53"/>
      <c r="M68" s="53"/>
      <c r="N68" s="58"/>
    </row>
    <row r="69" spans="1:15" x14ac:dyDescent="0.25">
      <c r="A69" s="35"/>
      <c r="B69" s="53" t="s">
        <v>89</v>
      </c>
      <c r="C69" s="42">
        <f>C66+C67/(C68*(0.98-C11)^3+1)</f>
        <v>0.44689240751873677</v>
      </c>
      <c r="D69" s="42" t="s">
        <v>90</v>
      </c>
      <c r="E69" s="42">
        <f>E66+E67/(E68*(0.98-C11)^3+1)</f>
        <v>0.27807441760259505</v>
      </c>
      <c r="F69" s="42"/>
      <c r="G69" s="42"/>
      <c r="H69" s="53"/>
      <c r="I69" s="53"/>
      <c r="J69" s="53"/>
      <c r="K69" s="53"/>
      <c r="L69" s="53"/>
      <c r="M69" s="53"/>
      <c r="N69" s="58"/>
    </row>
    <row r="70" spans="1:15" x14ac:dyDescent="0.25">
      <c r="A70" s="35"/>
      <c r="B70" s="53" t="s">
        <v>91</v>
      </c>
      <c r="C70" s="42">
        <f>0.025*C15/(100*(C11-0.7)^2+1)</f>
        <v>0</v>
      </c>
      <c r="D70" s="42" t="s">
        <v>92</v>
      </c>
      <c r="E70" s="42">
        <f>-0.01*C15</f>
        <v>0</v>
      </c>
      <c r="F70" s="42"/>
      <c r="G70" s="42"/>
      <c r="H70" s="53"/>
      <c r="I70" s="53"/>
      <c r="J70" s="53"/>
      <c r="K70" s="53"/>
      <c r="L70" s="53"/>
      <c r="M70" s="53"/>
      <c r="N70" s="58"/>
    </row>
    <row r="71" spans="1:15" x14ac:dyDescent="0.25">
      <c r="A71" s="35"/>
      <c r="B71" s="53" t="s">
        <v>93</v>
      </c>
      <c r="C71" s="42">
        <f>0.00756/(C18/C4+0.002)-0.18</f>
        <v>-1.6686165081056942E-2</v>
      </c>
      <c r="D71" s="42" t="s">
        <v>94</v>
      </c>
      <c r="E71" s="42">
        <f>2*(C18/C4-0.04)</f>
        <v>8.5824808872099062E-3</v>
      </c>
      <c r="F71" s="42"/>
      <c r="G71" s="42"/>
      <c r="H71" s="53"/>
      <c r="I71" s="53"/>
      <c r="J71" s="53"/>
      <c r="K71" s="53"/>
      <c r="L71" s="53"/>
      <c r="M71" s="53"/>
      <c r="N71" s="58"/>
    </row>
    <row r="72" spans="1:15" x14ac:dyDescent="0.25">
      <c r="A72" s="35"/>
      <c r="B72" s="53" t="s">
        <v>93</v>
      </c>
      <c r="C72" s="42">
        <f>MIN(0.1,C71)</f>
        <v>-1.6686165081056942E-2</v>
      </c>
      <c r="D72" s="42"/>
      <c r="E72" s="42"/>
      <c r="F72" s="42"/>
      <c r="G72" s="42"/>
      <c r="H72" s="53"/>
      <c r="I72" s="53"/>
      <c r="J72" s="53"/>
      <c r="K72" s="53"/>
      <c r="L72" s="53"/>
      <c r="M72" s="53"/>
      <c r="N72" s="58"/>
    </row>
    <row r="73" spans="1:15" x14ac:dyDescent="0.25">
      <c r="A73" s="35"/>
      <c r="B73" s="53" t="s">
        <v>95</v>
      </c>
      <c r="C73" s="76">
        <f>C69+C70+C72</f>
        <v>0.4302062424376798</v>
      </c>
      <c r="D73" s="42" t="s">
        <v>96</v>
      </c>
      <c r="E73" s="76">
        <f>E69+E70+E71</f>
        <v>0.28665689848980497</v>
      </c>
      <c r="F73" s="42" t="s">
        <v>97</v>
      </c>
      <c r="G73" s="76">
        <f>0.7*C11-0.2</f>
        <v>0.3359798537299114</v>
      </c>
      <c r="H73" s="53"/>
      <c r="I73" s="53"/>
      <c r="J73" s="53"/>
      <c r="K73" s="53"/>
      <c r="L73" s="53"/>
      <c r="M73" s="53"/>
      <c r="N73" s="58"/>
    </row>
    <row r="74" spans="1:15" x14ac:dyDescent="0.25">
      <c r="A74" s="35"/>
      <c r="B74" s="53" t="s">
        <v>98</v>
      </c>
      <c r="C74" s="76">
        <f>1.133*C11^2-0.797*C11+0.215</f>
        <v>0.2689974263016256</v>
      </c>
      <c r="D74" s="42" t="s">
        <v>99</v>
      </c>
      <c r="E74" s="76">
        <f>0.0665+0.62833*C74</f>
        <v>0.23551915286810043</v>
      </c>
      <c r="F74" s="42" t="s">
        <v>100</v>
      </c>
      <c r="G74" s="76">
        <f>0.2*C11+0.06</f>
        <v>0.21313710106568901</v>
      </c>
      <c r="H74" s="53"/>
      <c r="I74" s="53"/>
      <c r="J74" s="53"/>
      <c r="K74" s="53"/>
      <c r="L74" s="53"/>
      <c r="M74" s="53"/>
      <c r="N74" s="58"/>
    </row>
    <row r="75" spans="1:15" x14ac:dyDescent="0.25">
      <c r="A75" s="22" t="s">
        <v>101</v>
      </c>
      <c r="B75" s="53" t="s">
        <v>102</v>
      </c>
      <c r="C75" s="53">
        <f t="shared" ref="C75:N75" si="42">IF(C22&gt;$J9,0,IF($C17=1,0.2,0.1))</f>
        <v>0.2</v>
      </c>
      <c r="D75" s="53">
        <f t="shared" si="42"/>
        <v>0.2</v>
      </c>
      <c r="E75" s="53">
        <f t="shared" si="42"/>
        <v>0.2</v>
      </c>
      <c r="F75" s="53">
        <f t="shared" si="42"/>
        <v>0.2</v>
      </c>
      <c r="G75" s="53">
        <f t="shared" si="42"/>
        <v>0.2</v>
      </c>
      <c r="H75" s="53">
        <f t="shared" si="42"/>
        <v>0.2</v>
      </c>
      <c r="I75" s="53">
        <f t="shared" si="42"/>
        <v>0.2</v>
      </c>
      <c r="J75" s="53">
        <f t="shared" si="42"/>
        <v>0.2</v>
      </c>
      <c r="K75" s="53">
        <f t="shared" si="42"/>
        <v>0.2</v>
      </c>
      <c r="L75" s="53">
        <f t="shared" si="42"/>
        <v>0.2</v>
      </c>
      <c r="M75" s="53">
        <f t="shared" si="42"/>
        <v>0.2</v>
      </c>
      <c r="N75" s="53">
        <f t="shared" si="42"/>
        <v>0.2</v>
      </c>
    </row>
    <row r="76" spans="1:15" x14ac:dyDescent="0.25">
      <c r="A76" s="22"/>
      <c r="B76" s="557" t="s">
        <v>123</v>
      </c>
      <c r="C76" s="555">
        <f>C22</f>
        <v>0.12</v>
      </c>
      <c r="D76" s="555">
        <f>IF(D22&lt;0.12,0.12,D22)</f>
        <v>0.12</v>
      </c>
      <c r="E76" s="555">
        <f t="shared" ref="E76:M76" si="43">IF(E22&lt;0.12,0.12,E22)</f>
        <v>0.12</v>
      </c>
      <c r="F76" s="555">
        <f t="shared" si="43"/>
        <v>0.12</v>
      </c>
      <c r="G76" s="555">
        <f t="shared" si="43"/>
        <v>0.12</v>
      </c>
      <c r="H76" s="555">
        <f t="shared" si="43"/>
        <v>0.13209394248817394</v>
      </c>
      <c r="I76" s="555">
        <f t="shared" si="43"/>
        <v>0.15180945629237902</v>
      </c>
      <c r="J76" s="555">
        <f t="shared" si="43"/>
        <v>0.17132781495854202</v>
      </c>
      <c r="K76" s="555">
        <f t="shared" si="43"/>
        <v>0.17152497009658407</v>
      </c>
      <c r="L76" s="555">
        <f t="shared" si="43"/>
        <v>0.17172212523462613</v>
      </c>
      <c r="M76" s="555">
        <f t="shared" si="43"/>
        <v>0.18157988213672865</v>
      </c>
      <c r="N76" s="67">
        <f>N22</f>
        <v>0.32</v>
      </c>
      <c r="O76" s="551" t="s">
        <v>483</v>
      </c>
    </row>
    <row r="77" spans="1:15" x14ac:dyDescent="0.25">
      <c r="A77" s="22"/>
      <c r="B77" s="557" t="s">
        <v>103</v>
      </c>
      <c r="C77" s="556">
        <f>C22^2</f>
        <v>1.44E-2</v>
      </c>
      <c r="D77" s="556">
        <f>D76^2</f>
        <v>1.44E-2</v>
      </c>
      <c r="E77" s="556">
        <f t="shared" ref="E77:M77" si="44">E76^2</f>
        <v>1.44E-2</v>
      </c>
      <c r="F77" s="556">
        <f t="shared" si="44"/>
        <v>1.44E-2</v>
      </c>
      <c r="G77" s="556">
        <f t="shared" si="44"/>
        <v>1.44E-2</v>
      </c>
      <c r="H77" s="556">
        <f t="shared" si="44"/>
        <v>1.7448809642069005E-2</v>
      </c>
      <c r="I77" s="556">
        <f t="shared" si="44"/>
        <v>2.3046111019787735E-2</v>
      </c>
      <c r="J77" s="556">
        <f t="shared" si="44"/>
        <v>2.9353220178468413E-2</v>
      </c>
      <c r="K77" s="556">
        <f t="shared" si="44"/>
        <v>2.9420815366634059E-2</v>
      </c>
      <c r="L77" s="556">
        <f t="shared" si="44"/>
        <v>2.9488488295096621E-2</v>
      </c>
      <c r="M77" s="556">
        <f t="shared" si="44"/>
        <v>3.2971253596788271E-2</v>
      </c>
      <c r="N77" s="49">
        <f>N22^2</f>
        <v>0.1024</v>
      </c>
    </row>
    <row r="78" spans="1:15" x14ac:dyDescent="0.25">
      <c r="A78" s="22"/>
      <c r="B78" s="557" t="s">
        <v>104</v>
      </c>
      <c r="C78" s="556">
        <f>C22^3</f>
        <v>1.7279999999999999E-3</v>
      </c>
      <c r="D78" s="556">
        <f>D76^3</f>
        <v>1.7279999999999999E-3</v>
      </c>
      <c r="E78" s="556">
        <f t="shared" ref="E78:M78" si="45">E76^3</f>
        <v>1.7279999999999999E-3</v>
      </c>
      <c r="F78" s="556">
        <f t="shared" si="45"/>
        <v>1.7279999999999999E-3</v>
      </c>
      <c r="G78" s="556">
        <f t="shared" si="45"/>
        <v>1.7279999999999999E-3</v>
      </c>
      <c r="H78" s="556">
        <f t="shared" si="45"/>
        <v>2.3048820573465579E-3</v>
      </c>
      <c r="I78" s="556">
        <f t="shared" si="45"/>
        <v>3.4986175835677808E-3</v>
      </c>
      <c r="J78" s="556">
        <f t="shared" si="45"/>
        <v>5.0290230751739778E-3</v>
      </c>
      <c r="K78" s="556">
        <f t="shared" si="45"/>
        <v>5.0464044759790279E-3</v>
      </c>
      <c r="L78" s="556">
        <f t="shared" si="45"/>
        <v>5.0638258799903888E-3</v>
      </c>
      <c r="M78" s="556">
        <f t="shared" si="45"/>
        <v>5.9869163420050052E-3</v>
      </c>
      <c r="N78" s="49">
        <f>N22^3</f>
        <v>3.2768000000000005E-2</v>
      </c>
    </row>
    <row r="79" spans="1:15" x14ac:dyDescent="0.25">
      <c r="A79" s="22"/>
      <c r="B79" s="557" t="s">
        <v>105</v>
      </c>
      <c r="C79" s="556">
        <f>C22^4</f>
        <v>2.0735999999999999E-4</v>
      </c>
      <c r="D79" s="558">
        <f>D76^4</f>
        <v>2.0735999999999999E-4</v>
      </c>
      <c r="E79" s="558">
        <f t="shared" ref="E79:M79" si="46">E76^4</f>
        <v>2.0735999999999999E-4</v>
      </c>
      <c r="F79" s="558">
        <f t="shared" si="46"/>
        <v>2.0735999999999999E-4</v>
      </c>
      <c r="G79" s="558">
        <f t="shared" si="46"/>
        <v>2.0735999999999999E-4</v>
      </c>
      <c r="H79" s="558">
        <f t="shared" si="46"/>
        <v>3.0446095792516025E-4</v>
      </c>
      <c r="I79" s="558">
        <f t="shared" si="46"/>
        <v>5.3112323313638172E-4</v>
      </c>
      <c r="J79" s="558">
        <f t="shared" si="46"/>
        <v>8.6161153484564518E-4</v>
      </c>
      <c r="K79" s="558">
        <f t="shared" si="46"/>
        <v>8.6558437683757078E-4</v>
      </c>
      <c r="L79" s="558">
        <f t="shared" si="46"/>
        <v>8.6957094193005041E-4</v>
      </c>
      <c r="M79" s="558">
        <f t="shared" si="46"/>
        <v>1.0871035637437234E-3</v>
      </c>
      <c r="N79" s="49">
        <f>N22^4</f>
        <v>1.048576E-2</v>
      </c>
    </row>
    <row r="80" spans="1:15" x14ac:dyDescent="0.25">
      <c r="A80" s="22"/>
      <c r="B80" s="557" t="s">
        <v>106</v>
      </c>
      <c r="C80" s="556">
        <f>C22^5</f>
        <v>2.4883199999999999E-5</v>
      </c>
      <c r="D80" s="558">
        <f>D76^5</f>
        <v>2.4883199999999999E-5</v>
      </c>
      <c r="E80" s="558">
        <f t="shared" ref="E80:M80" si="47">E76^5</f>
        <v>2.4883199999999999E-5</v>
      </c>
      <c r="F80" s="558">
        <f t="shared" si="47"/>
        <v>2.4883199999999999E-5</v>
      </c>
      <c r="G80" s="558">
        <f t="shared" si="47"/>
        <v>2.4883199999999999E-5</v>
      </c>
      <c r="H80" s="558">
        <f t="shared" si="47"/>
        <v>4.0217448266060466E-5</v>
      </c>
      <c r="I80" s="558">
        <f t="shared" si="47"/>
        <v>8.0629529246684567E-5</v>
      </c>
      <c r="J80" s="558">
        <f t="shared" si="47"/>
        <v>1.4761802160818008E-4</v>
      </c>
      <c r="K80" s="558">
        <f t="shared" si="47"/>
        <v>1.4846933435313467E-4</v>
      </c>
      <c r="L80" s="558">
        <f t="shared" si="47"/>
        <v>1.4932457019050391E-4</v>
      </c>
      <c r="M80" s="558">
        <f t="shared" si="47"/>
        <v>1.9739613697500297E-4</v>
      </c>
      <c r="N80" s="49">
        <f>N22^5</f>
        <v>3.3554432000000001E-3</v>
      </c>
    </row>
    <row r="81" spans="1:14" x14ac:dyDescent="0.25">
      <c r="A81" s="176"/>
      <c r="B81" s="559" t="s">
        <v>259</v>
      </c>
      <c r="C81" s="560">
        <f>C22^6</f>
        <v>2.9859839999999999E-6</v>
      </c>
      <c r="D81" s="561">
        <f>D76^6</f>
        <v>2.9859839999999999E-6</v>
      </c>
      <c r="E81" s="561">
        <f t="shared" ref="E81:M81" si="48">E76^6</f>
        <v>2.9859839999999999E-6</v>
      </c>
      <c r="F81" s="561">
        <f t="shared" si="48"/>
        <v>2.9859839999999999E-6</v>
      </c>
      <c r="G81" s="561">
        <f t="shared" si="48"/>
        <v>2.9859839999999999E-6</v>
      </c>
      <c r="H81" s="561">
        <f t="shared" si="48"/>
        <v>5.3124812982781013E-6</v>
      </c>
      <c r="I81" s="561">
        <f t="shared" si="48"/>
        <v>1.2240324996049657E-5</v>
      </c>
      <c r="J81" s="561">
        <f t="shared" si="48"/>
        <v>2.5291073090632331E-5</v>
      </c>
      <c r="K81" s="561">
        <f t="shared" si="48"/>
        <v>2.5466198135181168E-5</v>
      </c>
      <c r="L81" s="561">
        <f t="shared" si="48"/>
        <v>2.5642332542860435E-5</v>
      </c>
      <c r="M81" s="561">
        <f t="shared" si="48"/>
        <v>3.584316728616659E-5</v>
      </c>
      <c r="N81" s="188">
        <f>N22^6</f>
        <v>1.073741824E-3</v>
      </c>
    </row>
    <row r="82" spans="1:14" x14ac:dyDescent="0.25">
      <c r="A82" s="75" t="s">
        <v>228</v>
      </c>
      <c r="B82" s="161" t="s">
        <v>210</v>
      </c>
      <c r="C82" s="162">
        <f xml:space="preserve"> 81963.95967*C80 - 69372.12684*C79 + 23700.28578*C78 - 4016.65661*C77 + 339.10948*C76 - 10.91</f>
        <v>0.55189762355814054</v>
      </c>
      <c r="D82" s="162">
        <f xml:space="preserve"> 81963.95967*D80 - 69372.12684*D79 + 23700.28578*D78 - 4016.65661*D77 + 339.10948*D76 - 10.91</f>
        <v>0.55189762355814054</v>
      </c>
      <c r="E82" s="162">
        <f t="shared" ref="E82:N82" si="49" xml:space="preserve"> 81963.95967*E80 - 69372.12684*E79 + 23700.28578*E78 - 4016.65661*E77 + 339.10948*E76 - 10.91</f>
        <v>0.55189762355814054</v>
      </c>
      <c r="F82" s="162">
        <f t="shared" si="49"/>
        <v>0.55189762355814054</v>
      </c>
      <c r="G82" s="162">
        <f t="shared" si="49"/>
        <v>0.55189762355814054</v>
      </c>
      <c r="H82" s="162">
        <f t="shared" si="49"/>
        <v>0.60007212787170161</v>
      </c>
      <c r="I82" s="162">
        <f t="shared" si="49"/>
        <v>0.68351537203495027</v>
      </c>
      <c r="J82" s="162">
        <f t="shared" si="49"/>
        <v>0.8038973488734662</v>
      </c>
      <c r="K82" s="162">
        <f t="shared" si="49"/>
        <v>0.80536449711577163</v>
      </c>
      <c r="L82" s="162">
        <f t="shared" si="49"/>
        <v>0.80683702821849224</v>
      </c>
      <c r="M82" s="162">
        <f t="shared" si="49"/>
        <v>0.88756665457964701</v>
      </c>
      <c r="N82" s="162">
        <f t="shared" si="49"/>
        <v>10.516299561017544</v>
      </c>
    </row>
    <row r="83" spans="1:14" x14ac:dyDescent="0.25">
      <c r="A83" s="75" t="s">
        <v>229</v>
      </c>
      <c r="B83" s="161" t="s">
        <v>107</v>
      </c>
      <c r="C83" s="162">
        <f t="shared" ref="C83:N83" si="50" xml:space="preserve"> 211855.99746*C80 - 178462.85551*C79 + 59866.35075*C78 - 9901.7271*C77 + 808.21686*C76 - 25.47</f>
        <v>0.64580449344308022</v>
      </c>
      <c r="D83" s="162">
        <f t="shared" si="50"/>
        <v>0.64580449344308022</v>
      </c>
      <c r="E83" s="162">
        <f t="shared" si="50"/>
        <v>0.64580449344308022</v>
      </c>
      <c r="F83" s="162">
        <f t="shared" si="50"/>
        <v>0.64580449344308022</v>
      </c>
      <c r="G83" s="162">
        <f t="shared" si="50"/>
        <v>0.64580449344308022</v>
      </c>
      <c r="H83" s="162">
        <f t="shared" si="50"/>
        <v>0.68741348475533925</v>
      </c>
      <c r="I83" s="162">
        <f t="shared" si="50"/>
        <v>0.77420797674361097</v>
      </c>
      <c r="J83" s="162">
        <f t="shared" si="50"/>
        <v>0.92982063322040176</v>
      </c>
      <c r="K83" s="162">
        <f t="shared" si="50"/>
        <v>0.93176765481737789</v>
      </c>
      <c r="L83" s="162">
        <f t="shared" si="50"/>
        <v>0.93372182613512678</v>
      </c>
      <c r="M83" s="162">
        <f t="shared" si="50"/>
        <v>1.0403498335924724</v>
      </c>
      <c r="N83" s="162">
        <f t="shared" si="50"/>
        <v>20.475215799836889</v>
      </c>
    </row>
    <row r="84" spans="1:14" x14ac:dyDescent="0.25">
      <c r="A84" s="75" t="s">
        <v>230</v>
      </c>
      <c r="B84" s="161" t="s">
        <v>108</v>
      </c>
      <c r="C84" s="162">
        <f t="shared" ref="C84:N84" si="51" xml:space="preserve"> 189330.79305*C80 - 133987.07846*C79 + 36767.07838*C78 - 4746.53331*C77 + 281.6148*C76 - 5.18</f>
        <v>0.72480317679617201</v>
      </c>
      <c r="D84" s="162">
        <f t="shared" si="51"/>
        <v>0.72480317679617201</v>
      </c>
      <c r="E84" s="162">
        <f t="shared" si="51"/>
        <v>0.72480317679617201</v>
      </c>
      <c r="F84" s="162">
        <f t="shared" si="51"/>
        <v>0.72480317679617201</v>
      </c>
      <c r="G84" s="162">
        <f t="shared" si="51"/>
        <v>0.72480317679617201</v>
      </c>
      <c r="H84" s="162">
        <f t="shared" si="51"/>
        <v>0.76259938534082039</v>
      </c>
      <c r="I84" s="162">
        <f t="shared" si="51"/>
        <v>0.91860537253901953</v>
      </c>
      <c r="J84" s="162">
        <f t="shared" si="51"/>
        <v>1.1487213690169256</v>
      </c>
      <c r="K84" s="162">
        <f t="shared" si="51"/>
        <v>1.1513339127696156</v>
      </c>
      <c r="L84" s="162">
        <f t="shared" si="51"/>
        <v>1.1539523046827895</v>
      </c>
      <c r="M84" s="162">
        <f t="shared" si="51"/>
        <v>1.2931877923543453</v>
      </c>
      <c r="N84" s="162">
        <f t="shared" si="51"/>
        <v>34.007723669340471</v>
      </c>
    </row>
    <row r="85" spans="1:14" x14ac:dyDescent="0.25">
      <c r="A85" s="75" t="s">
        <v>231</v>
      </c>
      <c r="B85" s="161" t="s">
        <v>109</v>
      </c>
      <c r="C85" s="162">
        <f t="shared" ref="C85:N85" si="52" xml:space="preserve"> -183277.76453*C80 + 217604.57034*C79 - 91711.5592*C78 + 18157.61937*C77 - 1715.03079*C76 + 63.08</f>
        <v>0.83039626574954184</v>
      </c>
      <c r="D85" s="162">
        <f t="shared" si="52"/>
        <v>0.83039626574954184</v>
      </c>
      <c r="E85" s="162">
        <f t="shared" si="52"/>
        <v>0.83039626574954184</v>
      </c>
      <c r="F85" s="162">
        <f t="shared" si="52"/>
        <v>0.83039626574954184</v>
      </c>
      <c r="G85" s="162">
        <f t="shared" si="52"/>
        <v>0.83039626574954184</v>
      </c>
      <c r="H85" s="162">
        <f t="shared" si="52"/>
        <v>0.860470070515575</v>
      </c>
      <c r="I85" s="162">
        <f t="shared" si="52"/>
        <v>1.1181895367369208</v>
      </c>
      <c r="J85" s="162">
        <f t="shared" si="52"/>
        <v>1.4480808055124754</v>
      </c>
      <c r="K85" s="162">
        <f t="shared" si="52"/>
        <v>1.451727880278284</v>
      </c>
      <c r="L85" s="162">
        <f t="shared" si="52"/>
        <v>1.455384971133256</v>
      </c>
      <c r="M85" s="162">
        <f t="shared" si="52"/>
        <v>1.655332919824346</v>
      </c>
      <c r="N85" s="162">
        <f t="shared" si="52"/>
        <v>35.17716960736864</v>
      </c>
    </row>
    <row r="86" spans="1:14" x14ac:dyDescent="0.25">
      <c r="A86" s="75" t="s">
        <v>232</v>
      </c>
      <c r="B86" s="161" t="s">
        <v>211</v>
      </c>
      <c r="C86" s="162">
        <f xml:space="preserve"> 108656.82305*C80 - 92884.66951*C79 + 31771.52118*C78 - 5373.60627*C77 + 450.34486*C76 - 14.5</f>
        <v>0.50580590076415888</v>
      </c>
      <c r="D86" s="162">
        <f xml:space="preserve"> 108656.82305*D80 - 92884.66951*D79 + 31771.52118*D78 - 5373.60627*D77 + 450.34486*D76 - 14.5</f>
        <v>0.50580590076415888</v>
      </c>
      <c r="E86" s="162">
        <f t="shared" ref="E86:N86" si="53" xml:space="preserve"> 108656.82305*E80 - 92884.66951*E79 + 31771.52118*E78 - 5373.60627*E77 + 450.34486*E76 - 14.5</f>
        <v>0.50580590076415888</v>
      </c>
      <c r="F86" s="162">
        <f t="shared" si="53"/>
        <v>0.50580590076415888</v>
      </c>
      <c r="G86" s="162">
        <f t="shared" si="53"/>
        <v>0.50580590076415888</v>
      </c>
      <c r="H86" s="162">
        <f t="shared" si="53"/>
        <v>0.54454894660575093</v>
      </c>
      <c r="I86" s="162">
        <f t="shared" si="53"/>
        <v>0.6100268356705385</v>
      </c>
      <c r="J86" s="162">
        <f t="shared" si="53"/>
        <v>0.71286858623037119</v>
      </c>
      <c r="K86" s="162">
        <f t="shared" si="53"/>
        <v>0.71414482899045595</v>
      </c>
      <c r="L86" s="162">
        <f t="shared" si="53"/>
        <v>0.71542589381884625</v>
      </c>
      <c r="M86" s="162">
        <f t="shared" si="53"/>
        <v>0.78565278968768837</v>
      </c>
      <c r="N86" s="162">
        <f t="shared" si="53"/>
        <v>11.067725053788109</v>
      </c>
    </row>
    <row r="87" spans="1:14" x14ac:dyDescent="0.25">
      <c r="A87" s="75" t="s">
        <v>233</v>
      </c>
      <c r="B87" s="161" t="s">
        <v>110</v>
      </c>
      <c r="C87" s="162">
        <f t="shared" ref="C87:N87" si="54" xml:space="preserve"> 236068.11145*C80 - 206198.08468*C79 + 71647.62804*C78 - 12274.26804*C77 + 1036.91016*C76 - 34.06</f>
        <v>0.54375586870779102</v>
      </c>
      <c r="D87" s="162">
        <f t="shared" si="54"/>
        <v>0.54375586870779102</v>
      </c>
      <c r="E87" s="162">
        <f t="shared" si="54"/>
        <v>0.54375586870779102</v>
      </c>
      <c r="F87" s="162">
        <f t="shared" si="54"/>
        <v>0.54375586870779102</v>
      </c>
      <c r="G87" s="162">
        <f t="shared" si="54"/>
        <v>0.54375586870779102</v>
      </c>
      <c r="H87" s="162">
        <f t="shared" si="54"/>
        <v>0.59230751108879076</v>
      </c>
      <c r="I87" s="162">
        <f t="shared" si="54"/>
        <v>0.66374225343560056</v>
      </c>
      <c r="J87" s="162">
        <f t="shared" si="54"/>
        <v>0.80509376175757552</v>
      </c>
      <c r="K87" s="162">
        <f t="shared" si="54"/>
        <v>0.80695599190798362</v>
      </c>
      <c r="L87" s="162">
        <f t="shared" si="54"/>
        <v>0.80882659162995196</v>
      </c>
      <c r="M87" s="162">
        <f t="shared" si="54"/>
        <v>0.91263612641145642</v>
      </c>
      <c r="N87" s="162">
        <f t="shared" si="54"/>
        <v>18.585190406308016</v>
      </c>
    </row>
    <row r="88" spans="1:14" x14ac:dyDescent="0.25">
      <c r="A88" s="75" t="s">
        <v>234</v>
      </c>
      <c r="B88" s="161" t="s">
        <v>111</v>
      </c>
      <c r="C88" s="162">
        <f t="shared" ref="C88:N88" si="55" xml:space="preserve"> 153905.69184*C80 - 114943.493048*C79 + 33802.921153*C78 - 4780.049092*C77 + 322.837994*C76 - 7.67</f>
        <v>0.64428350034379811</v>
      </c>
      <c r="D88" s="162">
        <f t="shared" si="55"/>
        <v>0.64428350034379811</v>
      </c>
      <c r="E88" s="162">
        <f t="shared" si="55"/>
        <v>0.64428350034379811</v>
      </c>
      <c r="F88" s="162">
        <f t="shared" si="55"/>
        <v>0.64428350034379811</v>
      </c>
      <c r="G88" s="162">
        <f t="shared" si="55"/>
        <v>0.64428350034379811</v>
      </c>
      <c r="H88" s="162">
        <f t="shared" si="55"/>
        <v>0.67441137660013517</v>
      </c>
      <c r="I88" s="162">
        <f t="shared" si="55"/>
        <v>0.80199643303738277</v>
      </c>
      <c r="J88" s="162">
        <f t="shared" si="55"/>
        <v>1.0095794010304733</v>
      </c>
      <c r="K88" s="162">
        <f t="shared" si="55"/>
        <v>1.0120319145345196</v>
      </c>
      <c r="L88" s="162">
        <f t="shared" si="55"/>
        <v>1.0144914559707932</v>
      </c>
      <c r="M88" s="162">
        <f t="shared" si="55"/>
        <v>1.1468432467993512</v>
      </c>
      <c r="N88" s="162">
        <f t="shared" si="55"/>
        <v>24.967176863531179</v>
      </c>
    </row>
    <row r="89" spans="1:14" x14ac:dyDescent="0.25">
      <c r="A89" s="75" t="s">
        <v>235</v>
      </c>
      <c r="B89" s="161" t="s">
        <v>112</v>
      </c>
      <c r="C89" s="162">
        <f t="shared" ref="C89:N89" si="56">-9980220.15991*C81 + 10826099.46985*C80 - 4792166.95182*C79 + 1110018.19846*C78 - 141933.11234*C77 + 9505.46225*C76 - 260.06</f>
        <v>0.75358072768784723</v>
      </c>
      <c r="D89" s="162">
        <f t="shared" si="56"/>
        <v>0.75358072768784723</v>
      </c>
      <c r="E89" s="162">
        <f t="shared" si="56"/>
        <v>0.75358072768784723</v>
      </c>
      <c r="F89" s="162">
        <f t="shared" si="56"/>
        <v>0.75358072768784723</v>
      </c>
      <c r="G89" s="162">
        <f t="shared" si="56"/>
        <v>0.75358072768784723</v>
      </c>
      <c r="H89" s="162">
        <f t="shared" si="56"/>
        <v>0.80177531784300982</v>
      </c>
      <c r="I89" s="162">
        <f t="shared" si="56"/>
        <v>0.99293918338042886</v>
      </c>
      <c r="J89" s="162">
        <f t="shared" si="56"/>
        <v>1.3338996040142206</v>
      </c>
      <c r="K89" s="162">
        <f t="shared" si="56"/>
        <v>1.3377139570501981</v>
      </c>
      <c r="L89" s="162">
        <f t="shared" si="56"/>
        <v>1.3415334082887398</v>
      </c>
      <c r="M89" s="162">
        <f t="shared" si="56"/>
        <v>1.5399082823482217</v>
      </c>
      <c r="N89" s="162">
        <f t="shared" si="56"/>
        <v>-18.516942986341803</v>
      </c>
    </row>
    <row r="90" spans="1:14" x14ac:dyDescent="0.25">
      <c r="A90" s="75" t="s">
        <v>236</v>
      </c>
      <c r="B90" s="161" t="s">
        <v>212</v>
      </c>
      <c r="C90" s="162">
        <f xml:space="preserve"> 12205.28697*C80 - 8294.72385*C79 + 2539.32664*C78 - 405.17899*C77 + 34.1222*C76 - 0.78</f>
        <v>0.45175563711590416</v>
      </c>
      <c r="D90" s="162">
        <f t="shared" ref="D90:N90" si="57" xml:space="preserve"> 12205.28697*D80 - 8294.72385*D79 + 2539.32664*D78 - 405.17899*D77 + 34.1222*D76 - 0.78</f>
        <v>0.45175563711590416</v>
      </c>
      <c r="E90" s="162">
        <f t="shared" si="57"/>
        <v>0.45175563711590416</v>
      </c>
      <c r="F90" s="162">
        <f t="shared" si="57"/>
        <v>0.45175563711590416</v>
      </c>
      <c r="G90" s="162">
        <f t="shared" si="57"/>
        <v>0.45175563711590416</v>
      </c>
      <c r="H90" s="162">
        <f t="shared" si="57"/>
        <v>0.47573919536503362</v>
      </c>
      <c r="I90" s="162">
        <f t="shared" si="57"/>
        <v>0.52499146972678123</v>
      </c>
      <c r="J90" s="162">
        <f t="shared" si="57"/>
        <v>0.59799669853513504</v>
      </c>
      <c r="K90" s="162">
        <f t="shared" si="57"/>
        <v>0.59890985875208025</v>
      </c>
      <c r="L90" s="162">
        <f t="shared" si="57"/>
        <v>0.59982715458078162</v>
      </c>
      <c r="M90" s="162">
        <f t="shared" si="57"/>
        <v>0.65143462251428486</v>
      </c>
      <c r="N90" s="162">
        <f t="shared" si="57"/>
        <v>5.8350943736791239</v>
      </c>
    </row>
    <row r="91" spans="1:14" x14ac:dyDescent="0.25">
      <c r="A91" s="75" t="s">
        <v>237</v>
      </c>
      <c r="B91" s="161" t="s">
        <v>113</v>
      </c>
      <c r="C91" s="162">
        <f t="shared" ref="C91:N91" si="58" xml:space="preserve"> 78193.22061*C80 - 62747.6239*C79 + 20041.29771*C78 - 3113.11297*C77 + 235.21739*C76 - 6.47</f>
        <v>0.49297273005874853</v>
      </c>
      <c r="D91" s="162">
        <f t="shared" si="58"/>
        <v>0.49297273005874853</v>
      </c>
      <c r="E91" s="162">
        <f t="shared" si="58"/>
        <v>0.49297273005874853</v>
      </c>
      <c r="F91" s="162">
        <f t="shared" si="58"/>
        <v>0.49297273005874853</v>
      </c>
      <c r="G91" s="162">
        <f t="shared" si="58"/>
        <v>0.49297273005874853</v>
      </c>
      <c r="H91" s="162">
        <f t="shared" si="58"/>
        <v>0.5140344013296021</v>
      </c>
      <c r="I91" s="162">
        <f t="shared" si="58"/>
        <v>0.58787521904679263</v>
      </c>
      <c r="J91" s="162">
        <f t="shared" si="58"/>
        <v>0.71619165334074975</v>
      </c>
      <c r="K91" s="162">
        <f t="shared" si="58"/>
        <v>0.71776083164974036</v>
      </c>
      <c r="L91" s="162">
        <f t="shared" si="58"/>
        <v>0.71933537907746992</v>
      </c>
      <c r="M91" s="162">
        <f t="shared" si="58"/>
        <v>0.80495564628205241</v>
      </c>
      <c r="N91" s="162">
        <f t="shared" si="58"/>
        <v>11.146425629540445</v>
      </c>
    </row>
    <row r="92" spans="1:14" x14ac:dyDescent="0.25">
      <c r="A92" s="75" t="s">
        <v>238</v>
      </c>
      <c r="B92" s="161" t="s">
        <v>114</v>
      </c>
      <c r="C92" s="162">
        <f t="shared" ref="C92:N92" si="59" xml:space="preserve"> 112229.10217*C80 - 90275.82325*C79 + 29064.78003*C78 - 4576.65461*C77 + 352.54132*C76 - 10.15</f>
        <v>0.54809639383654307</v>
      </c>
      <c r="D92" s="162">
        <f t="shared" si="59"/>
        <v>0.54809639383654307</v>
      </c>
      <c r="E92" s="162">
        <f t="shared" si="59"/>
        <v>0.54809639383654307</v>
      </c>
      <c r="F92" s="162">
        <f t="shared" si="59"/>
        <v>0.54809639383654307</v>
      </c>
      <c r="G92" s="162">
        <f t="shared" si="59"/>
        <v>0.54809639383654307</v>
      </c>
      <c r="H92" s="162">
        <f t="shared" si="59"/>
        <v>0.58039223955985442</v>
      </c>
      <c r="I92" s="162">
        <f t="shared" si="59"/>
        <v>0.68295890115859059</v>
      </c>
      <c r="J92" s="162">
        <f t="shared" si="59"/>
        <v>0.86238043510451057</v>
      </c>
      <c r="K92" s="162">
        <f t="shared" si="59"/>
        <v>0.86460301276347273</v>
      </c>
      <c r="L92" s="162">
        <f t="shared" si="59"/>
        <v>0.86683390526541437</v>
      </c>
      <c r="M92" s="162">
        <f t="shared" si="59"/>
        <v>0.98920015065178823</v>
      </c>
      <c r="N92" s="162">
        <f t="shared" si="59"/>
        <v>16.376263675551918</v>
      </c>
    </row>
    <row r="93" spans="1:14" x14ac:dyDescent="0.25">
      <c r="A93" s="75" t="s">
        <v>239</v>
      </c>
      <c r="B93" s="161" t="s">
        <v>115</v>
      </c>
      <c r="C93" s="162">
        <f t="shared" ref="C93:N93" si="60" xml:space="preserve"> -6333849.33191*C81 + 7003086.05505*C80 - 3170231.50477*C79 + 753388.16765*C78 - 99065.81153*C77 + 6833.52117*C76 - 192.64</f>
        <v>0.65682139961882058</v>
      </c>
      <c r="D93" s="162">
        <f t="shared" si="60"/>
        <v>0.65682139961882058</v>
      </c>
      <c r="E93" s="162">
        <f t="shared" si="60"/>
        <v>0.65682139961882058</v>
      </c>
      <c r="F93" s="162">
        <f t="shared" si="60"/>
        <v>0.65682139961882058</v>
      </c>
      <c r="G93" s="162">
        <f t="shared" si="60"/>
        <v>0.65682139961882058</v>
      </c>
      <c r="H93" s="162">
        <f t="shared" si="60"/>
        <v>0.70320904439290643</v>
      </c>
      <c r="I93" s="162">
        <f t="shared" si="60"/>
        <v>0.83208417646858379</v>
      </c>
      <c r="J93" s="162">
        <f t="shared" si="60"/>
        <v>1.1219817642137286</v>
      </c>
      <c r="K93" s="162">
        <f t="shared" si="60"/>
        <v>1.1255870263381667</v>
      </c>
      <c r="L93" s="162">
        <f t="shared" si="60"/>
        <v>1.1292040192357717</v>
      </c>
      <c r="M93" s="162">
        <f t="shared" si="60"/>
        <v>1.3248529504340922</v>
      </c>
      <c r="N93" s="162">
        <f t="shared" si="60"/>
        <v>-7.9770043277518425</v>
      </c>
    </row>
    <row r="94" spans="1:14" x14ac:dyDescent="0.25">
      <c r="A94" s="75" t="s">
        <v>240</v>
      </c>
      <c r="B94" s="161" t="s">
        <v>213</v>
      </c>
      <c r="C94" s="162">
        <f xml:space="preserve"> 53881.87664*C80 - 47719.69516*C79 + 17198.62503*C78 - 3090.1397*C77 + 275.82793*C76 - 9.37</f>
        <v>0.39616149627084063</v>
      </c>
      <c r="D94" s="162">
        <f t="shared" ref="D94:N94" si="61" xml:space="preserve"> 53881.87664*D80 - 47719.69516*D79 + 17198.62503*D78 - 3090.1397*D77 + 275.82793*D76 - 9.37</f>
        <v>0.39616149627084063</v>
      </c>
      <c r="E94" s="162">
        <f t="shared" si="61"/>
        <v>0.39616149627084063</v>
      </c>
      <c r="F94" s="162">
        <f t="shared" si="61"/>
        <v>0.39616149627084063</v>
      </c>
      <c r="G94" s="162">
        <f t="shared" si="61"/>
        <v>0.39616149627084063</v>
      </c>
      <c r="H94" s="162">
        <f t="shared" si="61"/>
        <v>0.42494905796745819</v>
      </c>
      <c r="I94" s="162">
        <f t="shared" si="61"/>
        <v>0.45842900459513025</v>
      </c>
      <c r="J94" s="162">
        <f t="shared" si="61"/>
        <v>0.51182393320498498</v>
      </c>
      <c r="K94" s="162">
        <f t="shared" si="61"/>
        <v>0.51254996681472953</v>
      </c>
      <c r="L94" s="162">
        <f t="shared" si="61"/>
        <v>0.51328029359846106</v>
      </c>
      <c r="M94" s="162">
        <f t="shared" si="61"/>
        <v>0.55557620583745937</v>
      </c>
      <c r="N94" s="162">
        <f t="shared" si="61"/>
        <v>6.4494831570452842</v>
      </c>
    </row>
    <row r="95" spans="1:14" x14ac:dyDescent="0.25">
      <c r="A95" s="75" t="s">
        <v>241</v>
      </c>
      <c r="B95" s="161" t="s">
        <v>116</v>
      </c>
      <c r="C95" s="162">
        <f t="shared" ref="C95:N95" si="62" xml:space="preserve"> -13296.8167*C80 + 17338.63401*C79 - 7542.52455*C78 + 1552.59022*C77 - 152.78609*C76 + 6.19</f>
        <v>0.4439577446041616</v>
      </c>
      <c r="D95" s="162">
        <f t="shared" si="62"/>
        <v>0.4439577446041616</v>
      </c>
      <c r="E95" s="162">
        <f t="shared" si="62"/>
        <v>0.4439577446041616</v>
      </c>
      <c r="F95" s="162">
        <f t="shared" si="62"/>
        <v>0.4439577446041616</v>
      </c>
      <c r="G95" s="162">
        <f t="shared" si="62"/>
        <v>0.4439577446041616</v>
      </c>
      <c r="H95" s="162">
        <f t="shared" si="62"/>
        <v>0.45827779513697298</v>
      </c>
      <c r="I95" s="162">
        <f t="shared" si="62"/>
        <v>0.52521959385569428</v>
      </c>
      <c r="J95" s="162">
        <f t="shared" si="62"/>
        <v>0.63180289836374381</v>
      </c>
      <c r="K95" s="162">
        <f t="shared" si="62"/>
        <v>0.63309222523196862</v>
      </c>
      <c r="L95" s="162">
        <f t="shared" si="62"/>
        <v>0.6343863009364652</v>
      </c>
      <c r="M95" s="162">
        <f t="shared" si="62"/>
        <v>0.70565274488715257</v>
      </c>
      <c r="N95" s="162">
        <f t="shared" si="62"/>
        <v>6.3222870526361516</v>
      </c>
    </row>
    <row r="96" spans="1:14" x14ac:dyDescent="0.25">
      <c r="A96" s="75" t="s">
        <v>242</v>
      </c>
      <c r="B96" s="161" t="s">
        <v>117</v>
      </c>
      <c r="C96" s="162">
        <f t="shared" ref="C96:N96" si="63" xml:space="preserve"> 57255.69581*C80 - 44678.74747*C79 + 14023.41918*C78 - 2111.06396*C77 + 151.68701*C76 - 3.73</f>
        <v>0.46570837364019413</v>
      </c>
      <c r="D96" s="162">
        <f t="shared" si="63"/>
        <v>0.46570837364019413</v>
      </c>
      <c r="E96" s="162">
        <f t="shared" si="63"/>
        <v>0.46570837364019413</v>
      </c>
      <c r="F96" s="162">
        <f t="shared" si="63"/>
        <v>0.46570837364019413</v>
      </c>
      <c r="G96" s="162">
        <f t="shared" si="63"/>
        <v>0.46570837364019413</v>
      </c>
      <c r="H96" s="162">
        <f t="shared" si="63"/>
        <v>0.49345297606570826</v>
      </c>
      <c r="I96" s="162">
        <f t="shared" si="63"/>
        <v>0.5948680386749321</v>
      </c>
      <c r="J96" s="162">
        <f t="shared" si="63"/>
        <v>0.77202575990670086</v>
      </c>
      <c r="K96" s="162">
        <f t="shared" si="63"/>
        <v>0.77422143659018205</v>
      </c>
      <c r="L96" s="162">
        <f t="shared" si="63"/>
        <v>0.77642546870698981</v>
      </c>
      <c r="M96" s="162">
        <f t="shared" si="63"/>
        <v>0.89754924726812435</v>
      </c>
      <c r="N96" s="162">
        <f t="shared" si="63"/>
        <v>11.783905482145865</v>
      </c>
    </row>
    <row r="97" spans="1:14" x14ac:dyDescent="0.25">
      <c r="A97" s="75" t="s">
        <v>243</v>
      </c>
      <c r="B97" s="161" t="s">
        <v>118</v>
      </c>
      <c r="C97" s="162">
        <f t="shared" ref="C97:N97" si="64" xml:space="preserve"> 143089.62452*C80 - 117343.50532*C79 + 38649.35375*C78 - 6217.22547*C77 + 488.33352*C76 - 14.52</f>
        <v>0.56623739370087023</v>
      </c>
      <c r="D97" s="162">
        <f t="shared" si="64"/>
        <v>0.56623739370087023</v>
      </c>
      <c r="E97" s="162">
        <f t="shared" si="64"/>
        <v>0.56623739370087023</v>
      </c>
      <c r="F97" s="162">
        <f t="shared" si="64"/>
        <v>0.56623739370087023</v>
      </c>
      <c r="G97" s="162">
        <f t="shared" si="64"/>
        <v>0.56623739370087023</v>
      </c>
      <c r="H97" s="162">
        <f t="shared" si="64"/>
        <v>0.61310170000922071</v>
      </c>
      <c r="I97" s="162">
        <f t="shared" si="64"/>
        <v>0.76347349917082497</v>
      </c>
      <c r="J97" s="162">
        <f t="shared" si="64"/>
        <v>1.0361082432000153</v>
      </c>
      <c r="K97" s="162">
        <f t="shared" si="64"/>
        <v>1.0395379042278385</v>
      </c>
      <c r="L97" s="162">
        <f t="shared" si="64"/>
        <v>1.0429813714711251</v>
      </c>
      <c r="M97" s="162">
        <f t="shared" si="64"/>
        <v>1.2330692449392124</v>
      </c>
      <c r="N97" s="162">
        <f t="shared" si="64"/>
        <v>21.258135193944394</v>
      </c>
    </row>
    <row r="98" spans="1:14" x14ac:dyDescent="0.25">
      <c r="A98" s="75" t="s">
        <v>244</v>
      </c>
      <c r="B98" s="161" t="s">
        <v>214</v>
      </c>
      <c r="C98" s="162">
        <f xml:space="preserve"> 30265.1424899999*C80 - 26816.90085*C79 + 9821.16503*C78 - 1803.67859*C77 + 165.46921*C76 - 5.71</f>
        <v>0.33664770919116993</v>
      </c>
      <c r="D98" s="162">
        <f xml:space="preserve"> 30265.1424899999*D80 - 26816.90085*D79 + 9821.16503*D78 - 1803.67859*D77 + 165.46921*D76 - 5.71</f>
        <v>0.33664770919116993</v>
      </c>
      <c r="E98" s="162">
        <f t="shared" ref="E98:N98" si="65" xml:space="preserve"> 30265.1424899999*E80 - 26816.90085*E79 + 9821.16503*E78 - 1803.67859*E77 + 165.46921*E76 - 5.71</f>
        <v>0.33664770919116993</v>
      </c>
      <c r="F98" s="162">
        <f t="shared" si="65"/>
        <v>0.33664770919116993</v>
      </c>
      <c r="G98" s="162">
        <f t="shared" si="65"/>
        <v>0.33664770919116993</v>
      </c>
      <c r="H98" s="162">
        <f t="shared" si="65"/>
        <v>0.36455047778609195</v>
      </c>
      <c r="I98" s="162">
        <f t="shared" si="65"/>
        <v>0.39969954855701761</v>
      </c>
      <c r="J98" s="162">
        <f t="shared" si="65"/>
        <v>0.44849832660988032</v>
      </c>
      <c r="K98" s="162">
        <f t="shared" si="65"/>
        <v>0.44913283536612614</v>
      </c>
      <c r="L98" s="162">
        <f t="shared" si="65"/>
        <v>0.44977072562818154</v>
      </c>
      <c r="M98" s="162">
        <f t="shared" si="65"/>
        <v>0.48630259663210129</v>
      </c>
      <c r="N98" s="162">
        <f t="shared" si="65"/>
        <v>4.7207755952452795</v>
      </c>
    </row>
    <row r="99" spans="1:14" x14ac:dyDescent="0.25">
      <c r="A99" s="75" t="s">
        <v>245</v>
      </c>
      <c r="B99" s="161" t="s">
        <v>119</v>
      </c>
      <c r="C99" s="162">
        <f t="shared" ref="C99:N99" si="66" xml:space="preserve"> 54477.25649*C80 - 47053.5012*C79 + 16421.96104*C78 - 2825.53995*C77 + 239.64014*C76 - 7.66</f>
        <v>0.38474465697996862</v>
      </c>
      <c r="D99" s="162">
        <f t="shared" si="66"/>
        <v>0.38474465697996862</v>
      </c>
      <c r="E99" s="162">
        <f t="shared" si="66"/>
        <v>0.38474465697996862</v>
      </c>
      <c r="F99" s="162">
        <f t="shared" si="66"/>
        <v>0.38474465697996862</v>
      </c>
      <c r="G99" s="162">
        <f t="shared" si="66"/>
        <v>0.38474465697996862</v>
      </c>
      <c r="H99" s="162">
        <f t="shared" si="66"/>
        <v>0.40836769042580201</v>
      </c>
      <c r="I99" s="162">
        <f t="shared" si="66"/>
        <v>0.45736148960211054</v>
      </c>
      <c r="J99" s="162">
        <f t="shared" si="66"/>
        <v>0.54473173382029572</v>
      </c>
      <c r="K99" s="162">
        <f t="shared" si="66"/>
        <v>0.54586285827938852</v>
      </c>
      <c r="L99" s="162">
        <f t="shared" si="66"/>
        <v>0.54699925490264789</v>
      </c>
      <c r="M99" s="162">
        <f t="shared" si="66"/>
        <v>0.61071219825106127</v>
      </c>
      <c r="N99" s="162">
        <f t="shared" si="66"/>
        <v>7.2079923798344474</v>
      </c>
    </row>
    <row r="100" spans="1:14" x14ac:dyDescent="0.25">
      <c r="A100" s="75" t="s">
        <v>246</v>
      </c>
      <c r="B100" s="161" t="s">
        <v>120</v>
      </c>
      <c r="C100" s="162">
        <f t="shared" ref="C100:N100" si="67" xml:space="preserve"> 76208.6211*C80 - 64528.35091*C79 + 21766.90698*C78 - 3544.03862*C77 + 277.89526*C76 - 8.01</f>
        <v>0.43220584929792061</v>
      </c>
      <c r="D100" s="162">
        <f t="shared" si="67"/>
        <v>0.43220584929792061</v>
      </c>
      <c r="E100" s="162">
        <f t="shared" si="67"/>
        <v>0.43220584929792061</v>
      </c>
      <c r="F100" s="162">
        <f t="shared" si="67"/>
        <v>0.43220584929792061</v>
      </c>
      <c r="G100" s="162">
        <f t="shared" si="67"/>
        <v>0.43220584929792061</v>
      </c>
      <c r="H100" s="162">
        <f t="shared" si="67"/>
        <v>0.4477313349163321</v>
      </c>
      <c r="I100" s="162">
        <f t="shared" si="67"/>
        <v>0.52706321156002467</v>
      </c>
      <c r="J100" s="162">
        <f t="shared" si="67"/>
        <v>0.68991363451202936</v>
      </c>
      <c r="K100" s="162">
        <f t="shared" si="67"/>
        <v>0.69199791823184675</v>
      </c>
      <c r="L100" s="162">
        <f t="shared" si="67"/>
        <v>0.69409087782299927</v>
      </c>
      <c r="M100" s="162">
        <f t="shared" si="67"/>
        <v>0.80973074635400444</v>
      </c>
      <c r="N100" s="162">
        <f t="shared" si="67"/>
        <v>10.349835045970101</v>
      </c>
    </row>
    <row r="101" spans="1:14" x14ac:dyDescent="0.25">
      <c r="A101" s="75" t="s">
        <v>247</v>
      </c>
      <c r="B101" s="161" t="s">
        <v>121</v>
      </c>
      <c r="C101" s="162">
        <f t="shared" ref="C101:N101" si="68" xml:space="preserve"> 73827.1017*C80 - 60714.3115*C79 + 20349.36168*C78 - 3304.30929*C77 + 259.49856*C76 - 7.45</f>
        <v>0.51880531142144104</v>
      </c>
      <c r="D101" s="162">
        <f t="shared" si="68"/>
        <v>0.51880531142144104</v>
      </c>
      <c r="E101" s="162">
        <f t="shared" si="68"/>
        <v>0.51880531142144104</v>
      </c>
      <c r="F101" s="162">
        <f t="shared" si="68"/>
        <v>0.51880531142144104</v>
      </c>
      <c r="G101" s="162">
        <f t="shared" si="68"/>
        <v>0.51880531142144104</v>
      </c>
      <c r="H101" s="162">
        <f t="shared" si="68"/>
        <v>0.55880287955773067</v>
      </c>
      <c r="I101" s="162">
        <f t="shared" si="68"/>
        <v>0.69335418341640587</v>
      </c>
      <c r="J101" s="162">
        <f t="shared" si="68"/>
        <v>0.94067217174888196</v>
      </c>
      <c r="K101" s="162">
        <f t="shared" si="68"/>
        <v>0.94382023580158414</v>
      </c>
      <c r="L101" s="162">
        <f t="shared" si="68"/>
        <v>0.94698190352344636</v>
      </c>
      <c r="M101" s="162">
        <f t="shared" si="68"/>
        <v>1.1228646457439906</v>
      </c>
      <c r="N101" s="162">
        <f t="shared" si="68"/>
        <v>15.123098854973495</v>
      </c>
    </row>
    <row r="102" spans="1:14" x14ac:dyDescent="0.25">
      <c r="A102" s="75" t="s">
        <v>248</v>
      </c>
      <c r="B102" s="161" t="s">
        <v>219</v>
      </c>
      <c r="C102" s="162">
        <f xml:space="preserve"> 40733.9049*C80 - 36751.17452*C79 + 13395.20097*C78 - 2415.4317*C77 + 215.01129*C76 - 7.26</f>
        <v>0.29891195010047689</v>
      </c>
      <c r="D102" s="162">
        <f t="shared" ref="D102:N102" si="69" xml:space="preserve"> 40733.9049*D80 - 36751.17452*D79 + 13395.20097*D78 - 2415.4317*D77 + 215.01129*D76 - 7.26</f>
        <v>0.29891195010047689</v>
      </c>
      <c r="E102" s="162">
        <f t="shared" si="69"/>
        <v>0.29891195010047689</v>
      </c>
      <c r="F102" s="162">
        <f t="shared" si="69"/>
        <v>0.29891195010047689</v>
      </c>
      <c r="G102" s="162">
        <f t="shared" si="69"/>
        <v>0.29891195010047689</v>
      </c>
      <c r="H102" s="162">
        <f t="shared" si="69"/>
        <v>0.31855532290960475</v>
      </c>
      <c r="I102" s="162">
        <f t="shared" si="69"/>
        <v>0.34407850561900766</v>
      </c>
      <c r="J102" s="162">
        <f t="shared" si="69"/>
        <v>0.38931333384438993</v>
      </c>
      <c r="K102" s="162">
        <f t="shared" si="69"/>
        <v>0.38993039407342245</v>
      </c>
      <c r="L102" s="162">
        <f t="shared" si="69"/>
        <v>0.39055099172283825</v>
      </c>
      <c r="M102" s="162">
        <f t="shared" si="69"/>
        <v>0.4262438402865012</v>
      </c>
      <c r="N102" s="162">
        <f t="shared" si="69"/>
        <v>4.4536605762765102</v>
      </c>
    </row>
    <row r="103" spans="1:14" x14ac:dyDescent="0.25">
      <c r="A103" s="75" t="s">
        <v>249</v>
      </c>
      <c r="B103" s="161" t="s">
        <v>141</v>
      </c>
      <c r="C103" s="162">
        <f t="shared" ref="C103:N103" si="70" xml:space="preserve"> 58644.91546*C80 - 51277.08978*C79+ 18140.63323*C78 - 3175.6924*C77 + 274.28544*C76 - 9.02</f>
        <v>0.33775228503347066</v>
      </c>
      <c r="D103" s="162">
        <f t="shared" si="70"/>
        <v>0.33775228503347066</v>
      </c>
      <c r="E103" s="162">
        <f t="shared" si="70"/>
        <v>0.33775228503347066</v>
      </c>
      <c r="F103" s="162">
        <f t="shared" si="70"/>
        <v>0.33775228503347066</v>
      </c>
      <c r="G103" s="162">
        <f t="shared" si="70"/>
        <v>0.33775228503347066</v>
      </c>
      <c r="H103" s="162">
        <f t="shared" si="70"/>
        <v>0.3580899876167507</v>
      </c>
      <c r="I103" s="162">
        <f t="shared" si="70"/>
        <v>0.39296051222506989</v>
      </c>
      <c r="J103" s="162">
        <f t="shared" si="70"/>
        <v>0.4617043556117828</v>
      </c>
      <c r="K103" s="162">
        <f t="shared" si="70"/>
        <v>0.4626386195478851</v>
      </c>
      <c r="L103" s="162">
        <f t="shared" si="70"/>
        <v>0.46357807647144611</v>
      </c>
      <c r="M103" s="162">
        <f t="shared" si="70"/>
        <v>0.51738466701838703</v>
      </c>
      <c r="N103" s="162">
        <f t="shared" si="70"/>
        <v>7.0931345839390723</v>
      </c>
    </row>
    <row r="104" spans="1:14" x14ac:dyDescent="0.25">
      <c r="A104" s="75" t="s">
        <v>250</v>
      </c>
      <c r="B104" s="161" t="s">
        <v>142</v>
      </c>
      <c r="C104" s="165">
        <f xml:space="preserve"> 29372.07272*C80 - 22669.98997*C79 + 6956.69784*C78 - 960.8162*C77 + 55.83313*C76 - 0.51</f>
        <v>0.40541822724710452</v>
      </c>
      <c r="D104" s="165">
        <f t="shared" ref="D104:N104" si="71" xml:space="preserve"> 29372.07272*D80 - 22669.98997*D79 + 6956.69784*D78 - 960.8162*D77 + 55.83313*D76 - 0.51</f>
        <v>0.40541822724710452</v>
      </c>
      <c r="E104" s="165">
        <f t="shared" si="71"/>
        <v>0.40541822724710452</v>
      </c>
      <c r="F104" s="165">
        <f t="shared" si="71"/>
        <v>0.40541822724710452</v>
      </c>
      <c r="G104" s="165">
        <f t="shared" si="71"/>
        <v>0.40541822724710452</v>
      </c>
      <c r="H104" s="165">
        <f t="shared" si="71"/>
        <v>0.41363027079978276</v>
      </c>
      <c r="I104" s="165">
        <f t="shared" si="71"/>
        <v>0.48944370856037955</v>
      </c>
      <c r="J104" s="165">
        <f t="shared" si="71"/>
        <v>0.6412350724007625</v>
      </c>
      <c r="K104" s="165">
        <f t="shared" si="71"/>
        <v>0.64315399420121699</v>
      </c>
      <c r="L104" s="165">
        <f t="shared" si="71"/>
        <v>0.64508063888770883</v>
      </c>
      <c r="M104" s="165">
        <f t="shared" si="71"/>
        <v>0.75133336276453533</v>
      </c>
      <c r="N104" s="165">
        <f t="shared" si="71"/>
        <v>7.7703451915223756</v>
      </c>
    </row>
    <row r="105" spans="1:14" x14ac:dyDescent="0.25">
      <c r="A105" s="75" t="s">
        <v>251</v>
      </c>
      <c r="B105" s="161" t="s">
        <v>143</v>
      </c>
      <c r="C105" s="162">
        <f xml:space="preserve"> 4564.57887*C80 - 4085.11767*C79 + 2049.36962*C78 - 391.39311*C77 + 30.6636*C76 - 0.38</f>
        <v>0.47137324824678373</v>
      </c>
      <c r="D105" s="162">
        <f t="shared" ref="D105:N105" si="72" xml:space="preserve"> 4564.57887*D80 - 4085.11767*D79 + 2049.36962*D78 - 391.39311*D77 + 30.6636*D76 - 0.38</f>
        <v>0.47137324824678373</v>
      </c>
      <c r="E105" s="162">
        <f t="shared" si="72"/>
        <v>0.47137324824678373</v>
      </c>
      <c r="F105" s="162">
        <f t="shared" si="72"/>
        <v>0.47137324824678373</v>
      </c>
      <c r="G105" s="162">
        <f t="shared" si="72"/>
        <v>0.47137324824678373</v>
      </c>
      <c r="H105" s="162">
        <f t="shared" si="72"/>
        <v>0.50450408479750741</v>
      </c>
      <c r="I105" s="162">
        <f t="shared" si="72"/>
        <v>0.62323490715312146</v>
      </c>
      <c r="J105" s="162">
        <f t="shared" si="72"/>
        <v>0.84523615772790428</v>
      </c>
      <c r="K105" s="162">
        <f t="shared" si="72"/>
        <v>0.84810262501054534</v>
      </c>
      <c r="L105" s="162">
        <f t="shared" si="72"/>
        <v>0.85098249341649967</v>
      </c>
      <c r="M105" s="162">
        <f t="shared" si="72"/>
        <v>1.0126601153150032</v>
      </c>
      <c r="N105" s="162">
        <f t="shared" si="72"/>
        <v>8.9880629149859868</v>
      </c>
    </row>
    <row r="106" spans="1:14" x14ac:dyDescent="0.25">
      <c r="A106" s="179"/>
      <c r="B106" s="164" t="s">
        <v>220</v>
      </c>
      <c r="C106" s="67">
        <f>($C12-0.75)*($C12-0.8)/0.005</f>
        <v>-0.12062693802647741</v>
      </c>
      <c r="D106" s="67">
        <f t="shared" ref="D106:N106" si="73">($C12-0.75)*($C12-0.8)/0.005</f>
        <v>-0.12062693802647741</v>
      </c>
      <c r="E106" s="67">
        <f t="shared" si="73"/>
        <v>-0.12062693802647741</v>
      </c>
      <c r="F106" s="67">
        <f t="shared" si="73"/>
        <v>-0.12062693802647741</v>
      </c>
      <c r="G106" s="67">
        <f t="shared" si="73"/>
        <v>-0.12062693802647741</v>
      </c>
      <c r="H106" s="67">
        <f t="shared" si="73"/>
        <v>-0.12062693802647741</v>
      </c>
      <c r="I106" s="67">
        <f t="shared" si="73"/>
        <v>-0.12062693802647741</v>
      </c>
      <c r="J106" s="67">
        <f t="shared" si="73"/>
        <v>-0.12062693802647741</v>
      </c>
      <c r="K106" s="67">
        <f t="shared" si="73"/>
        <v>-0.12062693802647741</v>
      </c>
      <c r="L106" s="67">
        <f t="shared" si="73"/>
        <v>-0.12062693802647741</v>
      </c>
      <c r="M106" s="67">
        <f t="shared" si="73"/>
        <v>-0.12062693802647741</v>
      </c>
      <c r="N106" s="67">
        <f t="shared" si="73"/>
        <v>-0.12062693802647741</v>
      </c>
    </row>
    <row r="107" spans="1:14" x14ac:dyDescent="0.25">
      <c r="A107" s="179"/>
      <c r="B107" s="164" t="s">
        <v>144</v>
      </c>
      <c r="C107" s="67">
        <f>($C12-0.7)*($C12-0.8)/0.0025</f>
        <v>-0.8347745900528265</v>
      </c>
      <c r="D107" s="67">
        <f t="shared" ref="D107:N107" si="74">($C12-0.7)*($C12-0.8)/0.0025</f>
        <v>-0.8347745900528265</v>
      </c>
      <c r="E107" s="67">
        <f t="shared" si="74"/>
        <v>-0.8347745900528265</v>
      </c>
      <c r="F107" s="67">
        <f t="shared" si="74"/>
        <v>-0.8347745900528265</v>
      </c>
      <c r="G107" s="67">
        <f t="shared" si="74"/>
        <v>-0.8347745900528265</v>
      </c>
      <c r="H107" s="67">
        <f t="shared" si="74"/>
        <v>-0.8347745900528265</v>
      </c>
      <c r="I107" s="67">
        <f t="shared" si="74"/>
        <v>-0.8347745900528265</v>
      </c>
      <c r="J107" s="67">
        <f t="shared" si="74"/>
        <v>-0.8347745900528265</v>
      </c>
      <c r="K107" s="67">
        <f t="shared" si="74"/>
        <v>-0.8347745900528265</v>
      </c>
      <c r="L107" s="67">
        <f t="shared" si="74"/>
        <v>-0.8347745900528265</v>
      </c>
      <c r="M107" s="67">
        <f t="shared" si="74"/>
        <v>-0.8347745900528265</v>
      </c>
      <c r="N107" s="67">
        <f t="shared" si="74"/>
        <v>-0.8347745900528265</v>
      </c>
    </row>
    <row r="108" spans="1:14" x14ac:dyDescent="0.25">
      <c r="A108" s="168"/>
      <c r="B108" s="189" t="s">
        <v>145</v>
      </c>
      <c r="C108" s="167">
        <f>($C12-0.7)*($C12-0.75)/0.005</f>
        <v>0.28585234797365278</v>
      </c>
      <c r="D108" s="167">
        <f t="shared" ref="D108:N108" si="75">($C12-0.7)*($C12-0.75)/0.005</f>
        <v>0.28585234797365278</v>
      </c>
      <c r="E108" s="167">
        <f t="shared" si="75"/>
        <v>0.28585234797365278</v>
      </c>
      <c r="F108" s="167">
        <f t="shared" si="75"/>
        <v>0.28585234797365278</v>
      </c>
      <c r="G108" s="167">
        <f t="shared" si="75"/>
        <v>0.28585234797365278</v>
      </c>
      <c r="H108" s="167">
        <f t="shared" si="75"/>
        <v>0.28585234797365278</v>
      </c>
      <c r="I108" s="167">
        <f t="shared" si="75"/>
        <v>0.28585234797365278</v>
      </c>
      <c r="J108" s="167">
        <f t="shared" si="75"/>
        <v>0.28585234797365278</v>
      </c>
      <c r="K108" s="167">
        <f t="shared" si="75"/>
        <v>0.28585234797365278</v>
      </c>
      <c r="L108" s="167">
        <f t="shared" si="75"/>
        <v>0.28585234797365278</v>
      </c>
      <c r="M108" s="167">
        <f t="shared" si="75"/>
        <v>0.28585234797365278</v>
      </c>
      <c r="N108" s="167">
        <f t="shared" si="75"/>
        <v>0.28585234797365278</v>
      </c>
    </row>
    <row r="109" spans="1:14" x14ac:dyDescent="0.25">
      <c r="A109" s="168"/>
      <c r="B109" s="189" t="s">
        <v>146</v>
      </c>
      <c r="C109" s="167">
        <f>($C12-0.8)*($C12-0.85)/0.005</f>
        <v>0.47289377597339355</v>
      </c>
      <c r="D109" s="167">
        <f t="shared" ref="D109:N109" si="76">($C12-0.8)*($C12-0.85)/0.005</f>
        <v>0.47289377597339355</v>
      </c>
      <c r="E109" s="167">
        <f t="shared" si="76"/>
        <v>0.47289377597339355</v>
      </c>
      <c r="F109" s="167">
        <f t="shared" si="76"/>
        <v>0.47289377597339355</v>
      </c>
      <c r="G109" s="167">
        <f t="shared" si="76"/>
        <v>0.47289377597339355</v>
      </c>
      <c r="H109" s="167">
        <f t="shared" si="76"/>
        <v>0.47289377597339355</v>
      </c>
      <c r="I109" s="167">
        <f t="shared" si="76"/>
        <v>0.47289377597339355</v>
      </c>
      <c r="J109" s="167">
        <f t="shared" si="76"/>
        <v>0.47289377597339355</v>
      </c>
      <c r="K109" s="167">
        <f t="shared" si="76"/>
        <v>0.47289377597339355</v>
      </c>
      <c r="L109" s="167">
        <f t="shared" si="76"/>
        <v>0.47289377597339355</v>
      </c>
      <c r="M109" s="167">
        <f t="shared" si="76"/>
        <v>0.47289377597339355</v>
      </c>
      <c r="N109" s="167">
        <f t="shared" si="76"/>
        <v>0.47289377597339355</v>
      </c>
    </row>
    <row r="110" spans="1:14" x14ac:dyDescent="0.25">
      <c r="A110" s="168"/>
      <c r="B110" s="189" t="s">
        <v>147</v>
      </c>
      <c r="C110" s="167">
        <f>($C12-0.75)*($C12-0.85)/0.0025</f>
        <v>-0.64773316205308418</v>
      </c>
      <c r="D110" s="167">
        <f t="shared" ref="D110:N110" si="77">($C12-0.75)*($C12-0.85)/0.0025</f>
        <v>-0.64773316205308418</v>
      </c>
      <c r="E110" s="167">
        <f t="shared" si="77"/>
        <v>-0.64773316205308418</v>
      </c>
      <c r="F110" s="167">
        <f t="shared" si="77"/>
        <v>-0.64773316205308418</v>
      </c>
      <c r="G110" s="167">
        <f t="shared" si="77"/>
        <v>-0.64773316205308418</v>
      </c>
      <c r="H110" s="167">
        <f t="shared" si="77"/>
        <v>-0.64773316205308418</v>
      </c>
      <c r="I110" s="167">
        <f t="shared" si="77"/>
        <v>-0.64773316205308418</v>
      </c>
      <c r="J110" s="167">
        <f t="shared" si="77"/>
        <v>-0.64773316205308418</v>
      </c>
      <c r="K110" s="167">
        <f t="shared" si="77"/>
        <v>-0.64773316205308418</v>
      </c>
      <c r="L110" s="167">
        <f t="shared" si="77"/>
        <v>-0.64773316205308418</v>
      </c>
      <c r="M110" s="167">
        <f t="shared" si="77"/>
        <v>-0.64773316205308418</v>
      </c>
      <c r="N110" s="167">
        <f t="shared" si="77"/>
        <v>-0.64773316205308418</v>
      </c>
    </row>
    <row r="111" spans="1:14" x14ac:dyDescent="0.25">
      <c r="A111" s="180" t="s">
        <v>252</v>
      </c>
      <c r="B111" s="190" t="s">
        <v>221</v>
      </c>
      <c r="C111" s="181">
        <f t="shared" ref="C111:N111" si="78">IF($C12&lt;0.775,C106*C82-C107*C83+C108*C84,C109*C83-C110*C84+C106*C85)</f>
        <v>0.67971415074026098</v>
      </c>
      <c r="D111" s="181">
        <f t="shared" si="78"/>
        <v>0.67971415074026098</v>
      </c>
      <c r="E111" s="181">
        <f t="shared" si="78"/>
        <v>0.67971415074026098</v>
      </c>
      <c r="F111" s="181">
        <f t="shared" si="78"/>
        <v>0.67971415074026098</v>
      </c>
      <c r="G111" s="181">
        <f t="shared" si="78"/>
        <v>0.67971415074026098</v>
      </c>
      <c r="H111" s="181">
        <f t="shared" si="78"/>
        <v>0.71944127141616487</v>
      </c>
      <c r="I111" s="181">
        <f t="shared" si="78"/>
        <v>0.82642428258066225</v>
      </c>
      <c r="J111" s="181">
        <f t="shared" si="78"/>
        <v>1.0075836627380084</v>
      </c>
      <c r="K111" s="181">
        <f t="shared" si="78"/>
        <v>1.0097788110592383</v>
      </c>
      <c r="L111" s="181">
        <f t="shared" si="78"/>
        <v>1.0119809501781312</v>
      </c>
      <c r="M111" s="181">
        <f t="shared" si="78"/>
        <v>1.1310539248276896</v>
      </c>
      <c r="N111" s="181">
        <f t="shared" si="78"/>
        <v>25.544828520257401</v>
      </c>
    </row>
    <row r="112" spans="1:14" x14ac:dyDescent="0.25">
      <c r="A112" s="180" t="s">
        <v>253</v>
      </c>
      <c r="B112" s="190" t="s">
        <v>223</v>
      </c>
      <c r="C112" s="181">
        <f t="shared" ref="C112:N112" si="79">IF($C12&lt;0.775,C106*C86-C107*C87+C108*C88,C109*C87-C110*C88+C106*C89)</f>
        <v>0.57706971667841844</v>
      </c>
      <c r="D112" s="181">
        <f t="shared" si="79"/>
        <v>0.57706971667841844</v>
      </c>
      <c r="E112" s="181">
        <f t="shared" si="79"/>
        <v>0.57706971667841844</v>
      </c>
      <c r="F112" s="181">
        <f t="shared" si="79"/>
        <v>0.57706971667841844</v>
      </c>
      <c r="G112" s="181">
        <f t="shared" si="79"/>
        <v>0.57706971667841844</v>
      </c>
      <c r="H112" s="181">
        <f t="shared" si="79"/>
        <v>0.62153806322105187</v>
      </c>
      <c r="I112" s="181">
        <f t="shared" si="79"/>
        <v>0.7097420616617548</v>
      </c>
      <c r="J112" s="181">
        <f t="shared" si="79"/>
        <v>0.87467130240342927</v>
      </c>
      <c r="K112" s="181">
        <f t="shared" si="79"/>
        <v>0.87677295230106145</v>
      </c>
      <c r="L112" s="181">
        <f t="shared" si="79"/>
        <v>0.87888301618395559</v>
      </c>
      <c r="M112" s="181">
        <f t="shared" si="79"/>
        <v>0.99490239277585912</v>
      </c>
      <c r="N112" s="181">
        <f t="shared" si="79"/>
        <v>21.316305047035954</v>
      </c>
    </row>
    <row r="113" spans="1:14" x14ac:dyDescent="0.25">
      <c r="A113" s="180" t="s">
        <v>254</v>
      </c>
      <c r="B113" s="190" t="s">
        <v>222</v>
      </c>
      <c r="C113" s="181">
        <f t="shared" ref="C113:N113" si="80">IF($C12&lt;0.775,C106*C90-C107*C91+C108*C92,C109*C91-C110*C92+C106*C93)</f>
        <v>0.51370185049459027</v>
      </c>
      <c r="D113" s="181">
        <f t="shared" si="80"/>
        <v>0.51370185049459027</v>
      </c>
      <c r="E113" s="181">
        <f t="shared" si="80"/>
        <v>0.51370185049459027</v>
      </c>
      <c r="F113" s="181">
        <f t="shared" si="80"/>
        <v>0.51370185049459027</v>
      </c>
      <c r="G113" s="181">
        <f t="shared" si="80"/>
        <v>0.51370185049459027</v>
      </c>
      <c r="H113" s="181">
        <f t="shared" si="80"/>
        <v>0.53762237863077578</v>
      </c>
      <c r="I113" s="181">
        <f t="shared" si="80"/>
        <v>0.62264058696452917</v>
      </c>
      <c r="J113" s="181">
        <f t="shared" si="80"/>
        <v>0.7722375553437093</v>
      </c>
      <c r="K113" s="181">
        <f t="shared" si="80"/>
        <v>0.77407264284478716</v>
      </c>
      <c r="L113" s="181">
        <f t="shared" si="80"/>
        <v>0.77591409030096492</v>
      </c>
      <c r="M113" s="181">
        <f t="shared" si="80"/>
        <v>0.8761411414771807</v>
      </c>
      <c r="N113" s="181">
        <f t="shared" si="80"/>
        <v>13.282076740753663</v>
      </c>
    </row>
    <row r="114" spans="1:14" x14ac:dyDescent="0.25">
      <c r="A114" s="180" t="s">
        <v>255</v>
      </c>
      <c r="B114" s="190" t="s">
        <v>225</v>
      </c>
      <c r="C114" s="181">
        <f t="shared" ref="C114:N114" si="81">IF($C12&lt;0.775,C106*C94-C107*C95+C108*C96,C109*C95-C110*C96+C106*C97)</f>
        <v>0.45594072806961788</v>
      </c>
      <c r="D114" s="181">
        <f t="shared" si="81"/>
        <v>0.45594072806961788</v>
      </c>
      <c r="E114" s="181">
        <f t="shared" si="81"/>
        <v>0.45594072806961788</v>
      </c>
      <c r="F114" s="181">
        <f t="shared" si="81"/>
        <v>0.45594072806961788</v>
      </c>
      <c r="G114" s="181">
        <f t="shared" si="81"/>
        <v>0.45594072806961788</v>
      </c>
      <c r="H114" s="181">
        <f t="shared" si="81"/>
        <v>0.47235304670889866</v>
      </c>
      <c r="I114" s="181">
        <f t="shared" si="81"/>
        <v>0.55318550961147372</v>
      </c>
      <c r="J114" s="181">
        <f t="shared" si="81"/>
        <v>0.68635862777007017</v>
      </c>
      <c r="K114" s="181">
        <f t="shared" si="81"/>
        <v>0.68797498520205302</v>
      </c>
      <c r="L114" s="181">
        <f t="shared" si="81"/>
        <v>0.68959717738968995</v>
      </c>
      <c r="M114" s="181">
        <f t="shared" si="81"/>
        <v>0.77861008403586185</v>
      </c>
      <c r="N114" s="181">
        <f t="shared" si="81"/>
        <v>7.8681602278439193</v>
      </c>
    </row>
    <row r="115" spans="1:14" x14ac:dyDescent="0.25">
      <c r="A115" s="180" t="s">
        <v>256</v>
      </c>
      <c r="B115" s="190" t="s">
        <v>226</v>
      </c>
      <c r="C115" s="181">
        <f t="shared" ref="C115:N115" si="82">IF($C12&lt;0.775,C106*C98-C107*C99+C108*C100,C109*C99-C110*C100+C106*C101)</f>
        <v>0.4041133377818672</v>
      </c>
      <c r="D115" s="181">
        <f t="shared" si="82"/>
        <v>0.4041133377818672</v>
      </c>
      <c r="E115" s="181">
        <f t="shared" si="82"/>
        <v>0.4041133377818672</v>
      </c>
      <c r="F115" s="181">
        <f t="shared" si="82"/>
        <v>0.4041133377818672</v>
      </c>
      <c r="G115" s="181">
        <f t="shared" si="82"/>
        <v>0.4041133377818672</v>
      </c>
      <c r="H115" s="181">
        <f t="shared" si="82"/>
        <v>0.42490541682180422</v>
      </c>
      <c r="I115" s="181">
        <f t="shared" si="82"/>
        <v>0.48424147387052074</v>
      </c>
      <c r="J115" s="181">
        <f t="shared" si="82"/>
        <v>0.59784066226395405</v>
      </c>
      <c r="K115" s="181">
        <f t="shared" si="82"/>
        <v>0.59930415476732812</v>
      </c>
      <c r="L115" s="181">
        <f t="shared" si="82"/>
        <v>0.60077412045688316</v>
      </c>
      <c r="M115" s="181">
        <f t="shared" si="82"/>
        <v>0.68260926682098511</v>
      </c>
      <c r="N115" s="181">
        <f t="shared" si="82"/>
        <v>8.4061208278461912</v>
      </c>
    </row>
    <row r="116" spans="1:14" x14ac:dyDescent="0.25">
      <c r="A116" s="180" t="s">
        <v>257</v>
      </c>
      <c r="B116" s="190" t="s">
        <v>227</v>
      </c>
      <c r="C116" s="181">
        <f t="shared" ref="C116:N116" si="83">IF($C12&lt;0.775,C106*C102-C107*C103+C108*C104,C109*C103-C110*C104+C106*C105)</f>
        <v>0.36177994416797787</v>
      </c>
      <c r="D116" s="181">
        <f t="shared" si="83"/>
        <v>0.36177994416797787</v>
      </c>
      <c r="E116" s="181">
        <f t="shared" si="83"/>
        <v>0.36177994416797787</v>
      </c>
      <c r="F116" s="181">
        <f t="shared" si="83"/>
        <v>0.36177994416797787</v>
      </c>
      <c r="G116" s="181">
        <f t="shared" si="83"/>
        <v>0.36177994416797787</v>
      </c>
      <c r="H116" s="181">
        <f t="shared" si="83"/>
        <v>0.37873525352126913</v>
      </c>
      <c r="I116" s="181">
        <f t="shared" si="83"/>
        <v>0.42643694721900116</v>
      </c>
      <c r="J116" s="181">
        <f t="shared" si="83"/>
        <v>0.521755939835715</v>
      </c>
      <c r="K116" s="181">
        <f t="shared" si="83"/>
        <v>0.52300993384620764</v>
      </c>
      <c r="L116" s="181">
        <f t="shared" si="83"/>
        <v>0.52427004372759478</v>
      </c>
      <c r="M116" s="181">
        <f t="shared" si="83"/>
        <v>0.5952534898606674</v>
      </c>
      <c r="N116" s="181">
        <f t="shared" si="83"/>
        <v>7.6051084937342459</v>
      </c>
    </row>
    <row r="117" spans="1:14" x14ac:dyDescent="0.25">
      <c r="A117" s="191" t="s">
        <v>131</v>
      </c>
      <c r="B117" s="191" t="s">
        <v>122</v>
      </c>
      <c r="C117" s="192">
        <f t="shared" ref="C117:N117" si="84">IF($C13&gt;5.25,IF($C13&lt;5.75,C112*($C13-5.5)*($C13-6)/0.5-C113*($C13-5)*($C13-6)/0.25+C114*($C13-5)*($C13-5.5)/0.5,IF($C13&lt;6.25,C113*($C13-6)*($C13-6.5)/0.5-C114*($C13-5.5)*($C13-6.5)/0.25+C115*($C13-5.5)*($C13-6)/0.5,C114*($C13-6.5)*($C13-7)/0.5-C115*($C13-6)*($C13-7)/0.25+C116*($C13-6)*($C13-6.5)/0.5)),C111*($C13-5)*($C13-5.5)/0.5-C112*($C13-4.5)*($C13-5.5)/0.25+C113*($C13-4.5)*($C13-5)/0.5)</f>
        <v>0.54898284433744049</v>
      </c>
      <c r="D117" s="192">
        <f t="shared" si="84"/>
        <v>0.54898284433744049</v>
      </c>
      <c r="E117" s="192">
        <f t="shared" si="84"/>
        <v>0.54898284433744049</v>
      </c>
      <c r="F117" s="192">
        <f t="shared" si="84"/>
        <v>0.54898284433744049</v>
      </c>
      <c r="G117" s="192">
        <f t="shared" si="84"/>
        <v>0.54898284433744049</v>
      </c>
      <c r="H117" s="192">
        <f t="shared" si="84"/>
        <v>0.58878002115982775</v>
      </c>
      <c r="I117" s="192">
        <f t="shared" si="84"/>
        <v>0.67398309039995741</v>
      </c>
      <c r="J117" s="192">
        <f t="shared" si="84"/>
        <v>0.83312050901618795</v>
      </c>
      <c r="K117" s="192">
        <f t="shared" si="84"/>
        <v>0.83514347646918152</v>
      </c>
      <c r="L117" s="192">
        <f t="shared" si="84"/>
        <v>0.83717450170839092</v>
      </c>
      <c r="M117" s="192">
        <f t="shared" si="84"/>
        <v>0.94882238541334141</v>
      </c>
      <c r="N117" s="192">
        <f t="shared" si="84"/>
        <v>18.780246669136186</v>
      </c>
    </row>
    <row r="118" spans="1:14" x14ac:dyDescent="0.25">
      <c r="A118" s="168"/>
      <c r="B118" s="189" t="s">
        <v>123</v>
      </c>
      <c r="C118" s="167">
        <f t="shared" ref="C118:N118" si="85">C22</f>
        <v>0.12</v>
      </c>
      <c r="D118" s="167">
        <f t="shared" si="85"/>
        <v>5.323188727135366E-2</v>
      </c>
      <c r="E118" s="167">
        <f t="shared" si="85"/>
        <v>7.2947401075558735E-2</v>
      </c>
      <c r="F118" s="167">
        <f t="shared" si="85"/>
        <v>9.2662914879763802E-2</v>
      </c>
      <c r="G118" s="167">
        <f t="shared" si="85"/>
        <v>0.11237842868396887</v>
      </c>
      <c r="H118" s="167">
        <f t="shared" si="85"/>
        <v>0.13209394248817394</v>
      </c>
      <c r="I118" s="167">
        <f t="shared" si="85"/>
        <v>0.15180945629237902</v>
      </c>
      <c r="J118" s="167">
        <f t="shared" si="85"/>
        <v>0.17132781495854202</v>
      </c>
      <c r="K118" s="167">
        <f t="shared" si="85"/>
        <v>0.17152497009658407</v>
      </c>
      <c r="L118" s="167">
        <f t="shared" si="85"/>
        <v>0.17172212523462613</v>
      </c>
      <c r="M118" s="167">
        <f t="shared" si="85"/>
        <v>0.18157988213672865</v>
      </c>
      <c r="N118" s="167">
        <f t="shared" si="85"/>
        <v>0.32</v>
      </c>
    </row>
    <row r="119" spans="1:14" x14ac:dyDescent="0.25">
      <c r="A119" s="168"/>
      <c r="B119" s="189" t="s">
        <v>165</v>
      </c>
      <c r="C119" s="167">
        <f t="shared" ref="C119:N119" si="86">C55+C57+C59+C63</f>
        <v>0.62869910997925382</v>
      </c>
      <c r="D119" s="167">
        <f t="shared" si="86"/>
        <v>0.52229251996163717</v>
      </c>
      <c r="E119" s="167">
        <f t="shared" si="86"/>
        <v>0.54035534543976715</v>
      </c>
      <c r="F119" s="167">
        <f t="shared" si="86"/>
        <v>0.56758354000178068</v>
      </c>
      <c r="G119" s="167">
        <f t="shared" si="86"/>
        <v>0.6081864072540184</v>
      </c>
      <c r="H119" s="167">
        <f t="shared" si="86"/>
        <v>0.6683496663392009</v>
      </c>
      <c r="I119" s="167">
        <f t="shared" si="86"/>
        <v>0.75744135379953037</v>
      </c>
      <c r="J119" s="167">
        <f t="shared" si="86"/>
        <v>0.88862791797319374</v>
      </c>
      <c r="K119" s="167">
        <f t="shared" si="86"/>
        <v>0.89024152274060142</v>
      </c>
      <c r="L119" s="167">
        <f t="shared" si="86"/>
        <v>0.89186181070803616</v>
      </c>
      <c r="M119" s="167">
        <f t="shared" si="86"/>
        <v>0.98213558235527587</v>
      </c>
      <c r="N119" s="167">
        <f t="shared" si="86"/>
        <v>12.090393063862917</v>
      </c>
    </row>
    <row r="120" spans="1:14" x14ac:dyDescent="0.25">
      <c r="A120" s="168"/>
      <c r="B120" s="189" t="s">
        <v>166</v>
      </c>
      <c r="C120" s="167">
        <f t="shared" ref="C120:N120" si="87">C119-C117</f>
        <v>7.9716265641813333E-2</v>
      </c>
      <c r="D120" s="167">
        <f t="shared" si="87"/>
        <v>-2.669032437580332E-2</v>
      </c>
      <c r="E120" s="167">
        <f t="shared" si="87"/>
        <v>-8.6274988976733358E-3</v>
      </c>
      <c r="F120" s="167">
        <f t="shared" si="87"/>
        <v>1.8600695664340194E-2</v>
      </c>
      <c r="G120" s="167">
        <f t="shared" si="87"/>
        <v>5.9203562916577912E-2</v>
      </c>
      <c r="H120" s="167">
        <f t="shared" si="87"/>
        <v>7.956964517937315E-2</v>
      </c>
      <c r="I120" s="167">
        <f t="shared" si="87"/>
        <v>8.3458263399572963E-2</v>
      </c>
      <c r="J120" s="167">
        <f t="shared" si="87"/>
        <v>5.5507408957005788E-2</v>
      </c>
      <c r="K120" s="167">
        <f t="shared" si="87"/>
        <v>5.5098046271419898E-2</v>
      </c>
      <c r="L120" s="167">
        <f t="shared" si="87"/>
        <v>5.4687308999645245E-2</v>
      </c>
      <c r="M120" s="167">
        <f t="shared" si="87"/>
        <v>3.3313196941934464E-2</v>
      </c>
      <c r="N120" s="167">
        <f t="shared" si="87"/>
        <v>-6.6898536052732691</v>
      </c>
    </row>
  </sheetData>
  <sheetProtection password="CC7C" sheet="1" objects="1" scenarios="1"/>
  <phoneticPr fontId="2" type="noConversion"/>
  <dataValidations count="1">
    <dataValidation type="whole" allowBlank="1" showInputMessage="1" showErrorMessage="1" error="Value to be either 1 or 2" sqref="K14">
      <formula1>1</formula1>
      <formula2>3</formula2>
    </dataValidation>
  </dataValidations>
  <pageMargins left="0.75" right="0.75" top="1" bottom="1"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topLeftCell="I19" workbookViewId="0">
      <selection activeCell="X27" sqref="X27"/>
    </sheetView>
  </sheetViews>
  <sheetFormatPr defaultRowHeight="13.2" x14ac:dyDescent="0.25"/>
  <cols>
    <col min="1" max="1" width="11.5546875" style="1" customWidth="1"/>
    <col min="2" max="2" width="19" bestFit="1" customWidth="1"/>
    <col min="3" max="3" width="12.109375" bestFit="1" customWidth="1"/>
    <col min="4" max="4" width="11.5546875" bestFit="1" customWidth="1"/>
    <col min="6" max="6" width="19" bestFit="1" customWidth="1"/>
    <col min="8" max="8" width="12.21875" bestFit="1" customWidth="1"/>
    <col min="10" max="10" width="17.5546875" bestFit="1" customWidth="1"/>
    <col min="11" max="11" width="12.109375" bestFit="1" customWidth="1"/>
  </cols>
  <sheetData>
    <row r="1" spans="1:13" x14ac:dyDescent="0.25">
      <c r="B1" s="398"/>
      <c r="C1" s="205"/>
      <c r="D1" s="205"/>
      <c r="E1" s="399"/>
      <c r="I1" s="399"/>
    </row>
    <row r="2" spans="1:13" x14ac:dyDescent="0.25">
      <c r="B2" s="398"/>
      <c r="C2" s="400" t="s">
        <v>389</v>
      </c>
      <c r="D2" s="205"/>
      <c r="E2" s="399"/>
      <c r="H2" s="400" t="s">
        <v>390</v>
      </c>
      <c r="I2" s="399"/>
      <c r="J2" s="400" t="s">
        <v>389</v>
      </c>
    </row>
    <row r="3" spans="1:13" x14ac:dyDescent="0.25">
      <c r="A3" s="1" t="s">
        <v>160</v>
      </c>
      <c r="B3" s="398" t="s">
        <v>393</v>
      </c>
      <c r="C3" s="205"/>
      <c r="D3" s="205" t="s">
        <v>392</v>
      </c>
      <c r="E3" s="399"/>
      <c r="F3" s="401" t="s">
        <v>393</v>
      </c>
      <c r="H3" t="s">
        <v>392</v>
      </c>
      <c r="I3" s="399"/>
      <c r="J3" s="401" t="s">
        <v>394</v>
      </c>
    </row>
    <row r="4" spans="1:13" x14ac:dyDescent="0.25">
      <c r="A4" s="1">
        <v>25</v>
      </c>
      <c r="B4" s="402">
        <v>170</v>
      </c>
      <c r="C4" s="403">
        <f t="shared" ref="C4:C19" si="0">(B4/B$14-1)*100</f>
        <v>3.8485033598045337</v>
      </c>
      <c r="D4" s="403">
        <v>175</v>
      </c>
      <c r="E4" s="404">
        <f t="shared" ref="E4:E19" si="1">(D4/D$14-1)*100</f>
        <v>6.6422912858013383</v>
      </c>
      <c r="F4" s="3">
        <v>176</v>
      </c>
      <c r="G4" s="3">
        <f t="shared" ref="G4:G19" si="2">(F4/F$14-1)*100</f>
        <v>5.0119331742243478</v>
      </c>
      <c r="H4" s="3">
        <v>179</v>
      </c>
      <c r="I4" s="405">
        <f t="shared" ref="I4:I19" si="3">(H4/H$14-1)*100</f>
        <v>6.4842355740630575</v>
      </c>
      <c r="J4" s="3">
        <v>169.9</v>
      </c>
      <c r="K4" s="2">
        <f t="shared" ref="K4:K19" si="4">(J4/J$14-1)*100</f>
        <v>3.7874160048869898</v>
      </c>
      <c r="L4">
        <v>172.4</v>
      </c>
      <c r="M4" s="2">
        <f t="shared" ref="M4:M19" si="5">(L4/L$14-1)*100</f>
        <v>5.378973105134488</v>
      </c>
    </row>
    <row r="5" spans="1:13" x14ac:dyDescent="0.25">
      <c r="A5" s="1">
        <v>30</v>
      </c>
      <c r="B5" s="402">
        <v>168.3</v>
      </c>
      <c r="C5" s="403">
        <f t="shared" si="0"/>
        <v>2.8100183262064871</v>
      </c>
      <c r="D5" s="403">
        <v>173</v>
      </c>
      <c r="E5" s="404">
        <f t="shared" si="1"/>
        <v>5.4235222425350393</v>
      </c>
      <c r="F5" s="3">
        <v>174.1</v>
      </c>
      <c r="G5" s="3">
        <f t="shared" si="2"/>
        <v>3.8782816229117056</v>
      </c>
      <c r="H5" s="3">
        <v>177</v>
      </c>
      <c r="I5" s="405">
        <f t="shared" si="3"/>
        <v>5.2944675788221263</v>
      </c>
      <c r="J5" s="3">
        <v>168</v>
      </c>
      <c r="K5" s="2">
        <f t="shared" si="4"/>
        <v>2.6267562614538775</v>
      </c>
      <c r="L5">
        <v>170.5</v>
      </c>
      <c r="M5" s="2">
        <f t="shared" si="5"/>
        <v>4.2176039119804498</v>
      </c>
    </row>
    <row r="6" spans="1:13" x14ac:dyDescent="0.25">
      <c r="A6" s="1">
        <v>35</v>
      </c>
      <c r="B6" s="402">
        <v>166.6</v>
      </c>
      <c r="C6" s="403">
        <f t="shared" si="0"/>
        <v>1.7715332926084404</v>
      </c>
      <c r="D6" s="403">
        <v>171.3</v>
      </c>
      <c r="E6" s="404">
        <f t="shared" si="1"/>
        <v>4.387568555758703</v>
      </c>
      <c r="F6" s="3">
        <v>172.2</v>
      </c>
      <c r="G6" s="3">
        <f t="shared" si="2"/>
        <v>2.7446300715990413</v>
      </c>
      <c r="H6" s="3">
        <v>175.1</v>
      </c>
      <c r="I6" s="405">
        <f t="shared" si="3"/>
        <v>4.1641879833432371</v>
      </c>
      <c r="J6" s="3">
        <v>166.2</v>
      </c>
      <c r="K6" s="2">
        <f t="shared" si="4"/>
        <v>1.5271838729383092</v>
      </c>
      <c r="L6">
        <v>168.8</v>
      </c>
      <c r="M6" s="2">
        <f t="shared" si="5"/>
        <v>3.1784841075794823</v>
      </c>
    </row>
    <row r="7" spans="1:13" x14ac:dyDescent="0.25">
      <c r="A7" s="1">
        <v>40</v>
      </c>
      <c r="B7" s="402">
        <v>165</v>
      </c>
      <c r="C7" s="403">
        <f t="shared" si="0"/>
        <v>0.79413561392791543</v>
      </c>
      <c r="D7" s="403">
        <v>169.8</v>
      </c>
      <c r="E7" s="404">
        <f t="shared" si="1"/>
        <v>3.4734917733089787</v>
      </c>
      <c r="F7" s="3">
        <v>170.5</v>
      </c>
      <c r="G7" s="3">
        <f t="shared" si="2"/>
        <v>1.7303102625298328</v>
      </c>
      <c r="H7" s="3">
        <v>173.4</v>
      </c>
      <c r="I7" s="405">
        <f t="shared" si="3"/>
        <v>3.1528851873884767</v>
      </c>
      <c r="J7" s="3">
        <v>164.8</v>
      </c>
      <c r="K7" s="2">
        <f t="shared" si="4"/>
        <v>0.67196090409287201</v>
      </c>
      <c r="L7">
        <v>167.1</v>
      </c>
      <c r="M7" s="2">
        <f t="shared" si="5"/>
        <v>2.1393643031784926</v>
      </c>
    </row>
    <row r="8" spans="1:13" x14ac:dyDescent="0.25">
      <c r="A8" s="1">
        <v>45</v>
      </c>
      <c r="B8" s="402">
        <v>163.4</v>
      </c>
      <c r="C8" s="403">
        <f t="shared" si="0"/>
        <v>-0.18326206475258733</v>
      </c>
      <c r="D8" s="403">
        <v>168.2</v>
      </c>
      <c r="E8" s="404">
        <f t="shared" si="1"/>
        <v>2.498476538695904</v>
      </c>
      <c r="F8" s="3">
        <v>169.1</v>
      </c>
      <c r="G8" s="3">
        <f t="shared" si="2"/>
        <v>0.89498806682577481</v>
      </c>
      <c r="H8" s="3">
        <v>172.2</v>
      </c>
      <c r="I8" s="405">
        <f t="shared" si="3"/>
        <v>2.4390243902439046</v>
      </c>
      <c r="J8" s="3">
        <v>163.19999999999999</v>
      </c>
      <c r="K8" s="2">
        <f t="shared" si="4"/>
        <v>-0.30543677458766405</v>
      </c>
      <c r="L8">
        <v>165.7</v>
      </c>
      <c r="M8" s="2">
        <f t="shared" si="5"/>
        <v>1.2836185819070867</v>
      </c>
    </row>
    <row r="9" spans="1:13" x14ac:dyDescent="0.25">
      <c r="A9" s="1">
        <v>50</v>
      </c>
      <c r="B9" s="402">
        <v>162</v>
      </c>
      <c r="C9" s="403">
        <f t="shared" si="0"/>
        <v>-1.0384850335980356</v>
      </c>
      <c r="D9" s="403">
        <v>167</v>
      </c>
      <c r="E9" s="404">
        <f t="shared" si="1"/>
        <v>1.7672151127361424</v>
      </c>
      <c r="F9" s="3">
        <v>168</v>
      </c>
      <c r="G9" s="3">
        <f t="shared" si="2"/>
        <v>0.23866348448686736</v>
      </c>
      <c r="H9" s="3">
        <v>171</v>
      </c>
      <c r="I9" s="405">
        <f t="shared" si="3"/>
        <v>1.7251635930993547</v>
      </c>
      <c r="J9" s="3">
        <v>162</v>
      </c>
      <c r="K9" s="2">
        <f t="shared" si="4"/>
        <v>-1.0384850335980356</v>
      </c>
      <c r="L9">
        <v>164.3</v>
      </c>
      <c r="M9" s="2">
        <f t="shared" si="5"/>
        <v>0.42787286063570296</v>
      </c>
    </row>
    <row r="10" spans="1:13" x14ac:dyDescent="0.25">
      <c r="A10" s="1">
        <v>55</v>
      </c>
      <c r="B10" s="402">
        <v>161</v>
      </c>
      <c r="C10" s="403">
        <f t="shared" si="0"/>
        <v>-1.6493585827733637</v>
      </c>
      <c r="D10" s="403">
        <v>165.8</v>
      </c>
      <c r="E10" s="404">
        <f t="shared" si="1"/>
        <v>1.0359536867763586</v>
      </c>
      <c r="F10" s="3">
        <v>167</v>
      </c>
      <c r="G10" s="3">
        <f t="shared" si="2"/>
        <v>-0.35799522673031214</v>
      </c>
      <c r="H10" s="3">
        <v>170.1</v>
      </c>
      <c r="I10" s="405">
        <f t="shared" si="3"/>
        <v>1.1897679952409312</v>
      </c>
      <c r="J10" s="3">
        <v>160.80000000000001</v>
      </c>
      <c r="K10" s="2">
        <f t="shared" si="4"/>
        <v>-1.7715332926084182</v>
      </c>
      <c r="L10">
        <v>163.19999999999999</v>
      </c>
      <c r="M10" s="2">
        <f t="shared" si="5"/>
        <v>-0.24449877750611915</v>
      </c>
    </row>
    <row r="11" spans="1:13" x14ac:dyDescent="0.25">
      <c r="A11" s="1">
        <v>60</v>
      </c>
      <c r="B11" s="402">
        <v>160</v>
      </c>
      <c r="C11" s="403">
        <f t="shared" si="0"/>
        <v>-2.2602321319486807</v>
      </c>
      <c r="D11" s="403">
        <v>164.8</v>
      </c>
      <c r="E11" s="404">
        <f t="shared" si="1"/>
        <v>0.42656916514320908</v>
      </c>
      <c r="F11" s="3">
        <v>166.3</v>
      </c>
      <c r="G11" s="3">
        <f t="shared" si="2"/>
        <v>-0.77565632458233003</v>
      </c>
      <c r="H11" s="3">
        <v>169.3</v>
      </c>
      <c r="I11" s="405">
        <f t="shared" si="3"/>
        <v>0.71386079714457207</v>
      </c>
      <c r="J11" s="3">
        <v>159.9</v>
      </c>
      <c r="K11" s="2">
        <f t="shared" si="4"/>
        <v>-2.3213194868662135</v>
      </c>
      <c r="L11">
        <v>162.30000000000001</v>
      </c>
      <c r="M11" s="2">
        <f t="shared" si="5"/>
        <v>-0.79462102689485947</v>
      </c>
    </row>
    <row r="12" spans="1:13" x14ac:dyDescent="0.25">
      <c r="A12" s="1">
        <v>65</v>
      </c>
      <c r="B12" s="402">
        <v>159.4</v>
      </c>
      <c r="C12" s="403">
        <f t="shared" si="0"/>
        <v>-2.6267562614538664</v>
      </c>
      <c r="D12" s="403">
        <v>164.2</v>
      </c>
      <c r="E12" s="404">
        <f t="shared" si="1"/>
        <v>6.0938452163306067E-2</v>
      </c>
      <c r="F12" s="3">
        <v>165.8</v>
      </c>
      <c r="G12" s="3">
        <f t="shared" si="2"/>
        <v>-1.0739856801909253</v>
      </c>
      <c r="H12" s="3">
        <v>168.7</v>
      </c>
      <c r="I12" s="405">
        <f t="shared" si="3"/>
        <v>0.35693039857227493</v>
      </c>
      <c r="J12" s="3">
        <v>159.25</v>
      </c>
      <c r="K12" s="2">
        <f t="shared" si="4"/>
        <v>-2.7183872938301712</v>
      </c>
      <c r="L12">
        <v>161.9</v>
      </c>
      <c r="M12" s="2">
        <f t="shared" si="5"/>
        <v>-1.0391198044009675</v>
      </c>
    </row>
    <row r="13" spans="1:13" x14ac:dyDescent="0.25">
      <c r="A13" s="1">
        <v>70</v>
      </c>
      <c r="B13" s="402">
        <v>161.5</v>
      </c>
      <c r="C13" s="403">
        <f t="shared" si="0"/>
        <v>-1.3439218081856996</v>
      </c>
      <c r="D13" s="403">
        <v>164</v>
      </c>
      <c r="E13" s="404">
        <f t="shared" si="1"/>
        <v>-6.0938452163306067E-2</v>
      </c>
      <c r="F13" s="3">
        <v>166.6</v>
      </c>
      <c r="G13" s="3">
        <f t="shared" si="2"/>
        <v>-0.5966587112171795</v>
      </c>
      <c r="H13" s="3">
        <v>168.3</v>
      </c>
      <c r="I13" s="405">
        <f t="shared" si="3"/>
        <v>0.11897679952410645</v>
      </c>
      <c r="J13" s="3">
        <v>161.30000000000001</v>
      </c>
      <c r="K13" s="2">
        <f t="shared" si="4"/>
        <v>-1.4660965180207541</v>
      </c>
      <c r="L13">
        <v>162.4</v>
      </c>
      <c r="M13" s="2">
        <f t="shared" si="5"/>
        <v>-0.73349633251833524</v>
      </c>
    </row>
    <row r="14" spans="1:13" x14ac:dyDescent="0.25">
      <c r="A14" s="1">
        <v>75</v>
      </c>
      <c r="B14" s="402">
        <v>163.69999999999999</v>
      </c>
      <c r="C14" s="403">
        <f t="shared" si="0"/>
        <v>0</v>
      </c>
      <c r="D14" s="403">
        <v>164.1</v>
      </c>
      <c r="E14" s="404">
        <f t="shared" si="1"/>
        <v>0</v>
      </c>
      <c r="F14" s="3">
        <v>167.6</v>
      </c>
      <c r="G14" s="3">
        <f t="shared" si="2"/>
        <v>0</v>
      </c>
      <c r="H14" s="3">
        <v>168.1</v>
      </c>
      <c r="I14" s="405">
        <f t="shared" si="3"/>
        <v>0</v>
      </c>
      <c r="J14" s="3">
        <v>163.69999999999999</v>
      </c>
      <c r="K14" s="2">
        <f t="shared" si="4"/>
        <v>0</v>
      </c>
      <c r="L14">
        <v>163.6</v>
      </c>
      <c r="M14" s="2">
        <f t="shared" si="5"/>
        <v>0</v>
      </c>
    </row>
    <row r="15" spans="1:13" x14ac:dyDescent="0.25">
      <c r="A15" s="1">
        <v>80</v>
      </c>
      <c r="B15" s="402">
        <v>164.6</v>
      </c>
      <c r="C15" s="403">
        <f t="shared" si="0"/>
        <v>0.54978619425778419</v>
      </c>
      <c r="D15" s="403">
        <v>164.3</v>
      </c>
      <c r="E15" s="404">
        <f t="shared" si="1"/>
        <v>0.12187690432663434</v>
      </c>
      <c r="F15" s="3">
        <v>168.1</v>
      </c>
      <c r="G15" s="3">
        <f t="shared" si="2"/>
        <v>0.2983293556085842</v>
      </c>
      <c r="H15" s="3">
        <v>168</v>
      </c>
      <c r="I15" s="405">
        <f t="shared" si="3"/>
        <v>-5.9488399762042121E-2</v>
      </c>
      <c r="J15" s="3">
        <v>164.3</v>
      </c>
      <c r="K15" s="2">
        <f t="shared" si="4"/>
        <v>0.36652412950519686</v>
      </c>
      <c r="L15">
        <v>164.4</v>
      </c>
      <c r="M15" s="2">
        <f t="shared" si="5"/>
        <v>0.48899755501223829</v>
      </c>
    </row>
    <row r="16" spans="1:13" x14ac:dyDescent="0.25">
      <c r="A16" s="1">
        <v>85</v>
      </c>
      <c r="B16" s="402">
        <v>165.9</v>
      </c>
      <c r="C16" s="403">
        <f t="shared" si="0"/>
        <v>1.3439218081857218</v>
      </c>
      <c r="D16" s="403">
        <v>165</v>
      </c>
      <c r="E16" s="404">
        <f t="shared" si="1"/>
        <v>0.54844606946984342</v>
      </c>
      <c r="F16" s="3">
        <v>169.2</v>
      </c>
      <c r="G16" s="3">
        <f t="shared" si="2"/>
        <v>0.95465393794749165</v>
      </c>
      <c r="H16" s="3">
        <v>168.3</v>
      </c>
      <c r="I16" s="405">
        <f t="shared" si="3"/>
        <v>0.11897679952410645</v>
      </c>
      <c r="J16" s="3">
        <v>165.3</v>
      </c>
      <c r="K16" s="2">
        <f t="shared" si="4"/>
        <v>0.97739767868052496</v>
      </c>
      <c r="L16">
        <v>165.8</v>
      </c>
      <c r="M16" s="2">
        <f t="shared" si="5"/>
        <v>1.344743276283622</v>
      </c>
    </row>
    <row r="17" spans="1:13" x14ac:dyDescent="0.25">
      <c r="A17" s="1">
        <v>90</v>
      </c>
      <c r="B17" s="402">
        <v>167.3</v>
      </c>
      <c r="C17" s="403">
        <f t="shared" si="0"/>
        <v>2.199144777031159</v>
      </c>
      <c r="D17" s="403">
        <v>165.8</v>
      </c>
      <c r="E17" s="404">
        <f t="shared" si="1"/>
        <v>1.0359536867763586</v>
      </c>
      <c r="F17" s="3">
        <v>171</v>
      </c>
      <c r="G17" s="3">
        <f t="shared" si="2"/>
        <v>2.0286396181384392</v>
      </c>
      <c r="H17" s="3">
        <v>168.8</v>
      </c>
      <c r="I17" s="405">
        <f t="shared" si="3"/>
        <v>0.41641879833433926</v>
      </c>
      <c r="J17" s="3">
        <v>166.3</v>
      </c>
      <c r="K17" s="2">
        <f t="shared" si="4"/>
        <v>1.5882712278558531</v>
      </c>
      <c r="L17">
        <v>167.2</v>
      </c>
      <c r="M17" s="2">
        <f t="shared" si="5"/>
        <v>2.2004889975550057</v>
      </c>
    </row>
    <row r="18" spans="1:13" x14ac:dyDescent="0.25">
      <c r="A18" s="1">
        <v>95</v>
      </c>
      <c r="B18" s="402">
        <v>168.35</v>
      </c>
      <c r="C18" s="403">
        <f t="shared" si="0"/>
        <v>2.8405620036652479</v>
      </c>
      <c r="D18" s="403">
        <v>166.8</v>
      </c>
      <c r="E18" s="404">
        <f t="shared" si="1"/>
        <v>1.6453382084095081</v>
      </c>
      <c r="F18" s="3">
        <v>171.9</v>
      </c>
      <c r="G18" s="3">
        <f t="shared" si="2"/>
        <v>2.5656324582338907</v>
      </c>
      <c r="H18" s="3">
        <v>169.7</v>
      </c>
      <c r="I18" s="405">
        <f t="shared" si="3"/>
        <v>0.95181439619274055</v>
      </c>
      <c r="J18" s="3">
        <v>167.3</v>
      </c>
      <c r="K18" s="2">
        <f t="shared" si="4"/>
        <v>2.199144777031159</v>
      </c>
      <c r="L18">
        <v>168.3</v>
      </c>
      <c r="M18" s="2">
        <f t="shared" si="5"/>
        <v>2.8728606356968278</v>
      </c>
    </row>
    <row r="19" spans="1:13" x14ac:dyDescent="0.25">
      <c r="A19" s="1">
        <v>100</v>
      </c>
      <c r="B19" s="402">
        <v>169.5</v>
      </c>
      <c r="C19" s="403">
        <f t="shared" si="0"/>
        <v>3.5430665852168586</v>
      </c>
      <c r="D19" s="403">
        <v>168</v>
      </c>
      <c r="E19" s="404">
        <f t="shared" si="1"/>
        <v>2.3765996343692919</v>
      </c>
      <c r="F19" s="3">
        <v>173</v>
      </c>
      <c r="G19" s="3">
        <f t="shared" si="2"/>
        <v>3.2219570405727982</v>
      </c>
      <c r="H19" s="3">
        <v>171</v>
      </c>
      <c r="I19" s="405">
        <f t="shared" si="3"/>
        <v>1.7251635930993547</v>
      </c>
      <c r="J19" s="3">
        <v>168.4</v>
      </c>
      <c r="K19" s="2">
        <f t="shared" si="4"/>
        <v>2.8711056811240088</v>
      </c>
      <c r="L19">
        <v>169.3</v>
      </c>
      <c r="M19" s="2">
        <f t="shared" si="5"/>
        <v>3.4841075794621146</v>
      </c>
    </row>
    <row r="20" spans="1:13" x14ac:dyDescent="0.25">
      <c r="A20" s="1">
        <v>25</v>
      </c>
      <c r="C20" s="2">
        <v>5.0119331742243478</v>
      </c>
    </row>
    <row r="21" spans="1:13" x14ac:dyDescent="0.25">
      <c r="A21" s="1">
        <v>30</v>
      </c>
      <c r="C21" s="2">
        <v>3.8782816229117056</v>
      </c>
    </row>
    <row r="22" spans="1:13" x14ac:dyDescent="0.25">
      <c r="A22" s="1">
        <v>35</v>
      </c>
      <c r="C22" s="2">
        <v>2.7446300715990413</v>
      </c>
    </row>
    <row r="23" spans="1:13" x14ac:dyDescent="0.25">
      <c r="A23" s="1">
        <v>40</v>
      </c>
      <c r="C23" s="2">
        <v>1.7303102625298328</v>
      </c>
    </row>
    <row r="24" spans="1:13" x14ac:dyDescent="0.25">
      <c r="A24" s="1">
        <v>45</v>
      </c>
      <c r="C24" s="2">
        <v>0.89498806682577481</v>
      </c>
    </row>
    <row r="25" spans="1:13" x14ac:dyDescent="0.25">
      <c r="A25" s="1">
        <v>50</v>
      </c>
      <c r="C25" s="2">
        <v>0.23866348448686736</v>
      </c>
    </row>
    <row r="26" spans="1:13" x14ac:dyDescent="0.25">
      <c r="A26" s="1">
        <v>55</v>
      </c>
      <c r="C26" s="2">
        <v>-0.35799522673031214</v>
      </c>
    </row>
    <row r="27" spans="1:13" x14ac:dyDescent="0.25">
      <c r="A27" s="1">
        <v>60</v>
      </c>
      <c r="C27" s="2">
        <v>-0.77565632458233003</v>
      </c>
    </row>
    <row r="28" spans="1:13" x14ac:dyDescent="0.25">
      <c r="A28" s="1">
        <v>65</v>
      </c>
      <c r="C28" s="2">
        <v>-1.0739856801909253</v>
      </c>
    </row>
    <row r="29" spans="1:13" x14ac:dyDescent="0.25">
      <c r="A29" s="1">
        <v>70</v>
      </c>
      <c r="C29" s="2">
        <v>-0.5966587112171795</v>
      </c>
    </row>
    <row r="30" spans="1:13" x14ac:dyDescent="0.25">
      <c r="A30" s="1">
        <v>75</v>
      </c>
      <c r="C30" s="2">
        <v>0</v>
      </c>
    </row>
    <row r="31" spans="1:13" x14ac:dyDescent="0.25">
      <c r="A31" s="1">
        <v>80</v>
      </c>
      <c r="C31" s="2">
        <v>0.2983293556085842</v>
      </c>
    </row>
    <row r="32" spans="1:13" x14ac:dyDescent="0.25">
      <c r="A32" s="1">
        <v>85</v>
      </c>
      <c r="C32" s="2">
        <v>0.95465393794749165</v>
      </c>
    </row>
    <row r="33" spans="1:3" x14ac:dyDescent="0.25">
      <c r="A33" s="1">
        <v>90</v>
      </c>
      <c r="C33" s="2">
        <v>2.0286396181384392</v>
      </c>
    </row>
    <row r="34" spans="1:3" x14ac:dyDescent="0.25">
      <c r="A34" s="1">
        <v>95</v>
      </c>
      <c r="C34" s="2">
        <v>2.5656324582338907</v>
      </c>
    </row>
    <row r="35" spans="1:3" x14ac:dyDescent="0.25">
      <c r="A35" s="1">
        <v>100</v>
      </c>
      <c r="C35" s="2">
        <v>3.2219570405727982</v>
      </c>
    </row>
    <row r="36" spans="1:3" x14ac:dyDescent="0.25">
      <c r="A36" s="1">
        <v>25</v>
      </c>
      <c r="C36" s="2">
        <v>3.7874160048869898</v>
      </c>
    </row>
    <row r="37" spans="1:3" x14ac:dyDescent="0.25">
      <c r="A37" s="1">
        <v>30</v>
      </c>
      <c r="C37" s="2">
        <v>2.6267562614538775</v>
      </c>
    </row>
    <row r="38" spans="1:3" x14ac:dyDescent="0.25">
      <c r="A38" s="1">
        <v>35</v>
      </c>
      <c r="C38" s="2">
        <v>1.5271838729383092</v>
      </c>
    </row>
    <row r="39" spans="1:3" x14ac:dyDescent="0.25">
      <c r="A39" s="1">
        <v>40</v>
      </c>
      <c r="C39" s="2">
        <v>0.67196090409287201</v>
      </c>
    </row>
    <row r="40" spans="1:3" x14ac:dyDescent="0.25">
      <c r="A40" s="1">
        <v>45</v>
      </c>
      <c r="C40" s="2">
        <v>-0.30543677458766405</v>
      </c>
    </row>
    <row r="41" spans="1:3" x14ac:dyDescent="0.25">
      <c r="A41" s="1">
        <v>50</v>
      </c>
      <c r="C41" s="2">
        <v>-1.0384850335980356</v>
      </c>
    </row>
    <row r="42" spans="1:3" x14ac:dyDescent="0.25">
      <c r="A42" s="1">
        <v>55</v>
      </c>
      <c r="C42" s="2">
        <v>-1.7715332926084182</v>
      </c>
    </row>
    <row r="43" spans="1:3" x14ac:dyDescent="0.25">
      <c r="A43" s="1">
        <v>60</v>
      </c>
      <c r="C43" s="2">
        <v>-2.3213194868662135</v>
      </c>
    </row>
    <row r="44" spans="1:3" x14ac:dyDescent="0.25">
      <c r="A44" s="1">
        <v>65</v>
      </c>
      <c r="C44" s="2">
        <v>-2.7183872938301712</v>
      </c>
    </row>
    <row r="45" spans="1:3" x14ac:dyDescent="0.25">
      <c r="A45" s="1">
        <v>70</v>
      </c>
      <c r="C45" s="2">
        <v>-1.4660965180207541</v>
      </c>
    </row>
    <row r="46" spans="1:3" x14ac:dyDescent="0.25">
      <c r="A46" s="1">
        <v>75</v>
      </c>
      <c r="C46" s="2">
        <v>0</v>
      </c>
    </row>
    <row r="47" spans="1:3" x14ac:dyDescent="0.25">
      <c r="A47" s="1">
        <v>80</v>
      </c>
      <c r="C47" s="2">
        <v>0.36652412950519686</v>
      </c>
    </row>
    <row r="48" spans="1:3" x14ac:dyDescent="0.25">
      <c r="A48" s="1">
        <v>85</v>
      </c>
      <c r="C48" s="2">
        <v>0.97739767868052496</v>
      </c>
    </row>
    <row r="49" spans="1:3" x14ac:dyDescent="0.25">
      <c r="A49" s="1">
        <v>90</v>
      </c>
      <c r="C49" s="2">
        <v>1.5882712278558531</v>
      </c>
    </row>
    <row r="50" spans="1:3" x14ac:dyDescent="0.25">
      <c r="A50" s="1">
        <v>95</v>
      </c>
      <c r="C50" s="2">
        <v>2.199144777031159</v>
      </c>
    </row>
    <row r="51" spans="1:3" x14ac:dyDescent="0.25">
      <c r="A51" s="1">
        <v>100</v>
      </c>
      <c r="C51" s="2">
        <v>2.8711056811240088</v>
      </c>
    </row>
    <row r="52" spans="1:3" x14ac:dyDescent="0.25">
      <c r="A52" s="1">
        <v>25</v>
      </c>
      <c r="B52" s="397">
        <f t="shared" ref="B52:B67" si="6">0.0000000020194*A52^6-0.0000007555*A52^5+0.00011181*A52^4-0.00832*A52^3+0.33*A52^2-6.851*A52+62.9</f>
        <v>4.6658691406249986</v>
      </c>
      <c r="C52" s="2">
        <v>5.378973105134488</v>
      </c>
    </row>
    <row r="53" spans="1:3" x14ac:dyDescent="0.25">
      <c r="A53" s="1">
        <v>30</v>
      </c>
      <c r="B53" s="397">
        <f t="shared" si="6"/>
        <v>3.4095926000000176</v>
      </c>
      <c r="C53" s="2">
        <v>4.2176039119804498</v>
      </c>
    </row>
    <row r="54" spans="1:3" x14ac:dyDescent="0.25">
      <c r="A54" s="1">
        <v>35</v>
      </c>
      <c r="B54" s="397">
        <f t="shared" si="6"/>
        <v>2.4617982906250333</v>
      </c>
      <c r="C54" s="2">
        <v>3.1784841075794823</v>
      </c>
    </row>
    <row r="55" spans="1:3" x14ac:dyDescent="0.25">
      <c r="A55" s="1">
        <v>40</v>
      </c>
      <c r="B55" s="397">
        <f t="shared" si="6"/>
        <v>1.52186240000011</v>
      </c>
      <c r="C55" s="2">
        <v>2.1393643031784926</v>
      </c>
    </row>
    <row r="56" spans="1:3" x14ac:dyDescent="0.25">
      <c r="A56" s="1">
        <v>45</v>
      </c>
      <c r="B56" s="397">
        <f t="shared" si="6"/>
        <v>0.54350711562502596</v>
      </c>
      <c r="C56" s="2">
        <v>1.2836185819070867</v>
      </c>
    </row>
    <row r="57" spans="1:3" x14ac:dyDescent="0.25">
      <c r="A57" s="1">
        <v>50</v>
      </c>
      <c r="B57" s="397">
        <f t="shared" si="6"/>
        <v>-0.37812499999999005</v>
      </c>
      <c r="C57" s="2">
        <v>0.42787286063570296</v>
      </c>
    </row>
    <row r="58" spans="1:3" x14ac:dyDescent="0.25">
      <c r="A58" s="1">
        <v>55</v>
      </c>
      <c r="B58" s="397">
        <f t="shared" si="6"/>
        <v>-1.09667838437489</v>
      </c>
      <c r="C58" s="2">
        <v>-0.24449877750611915</v>
      </c>
    </row>
    <row r="59" spans="1:3" x14ac:dyDescent="0.25">
      <c r="A59" s="1">
        <v>60</v>
      </c>
      <c r="B59" s="397">
        <f t="shared" si="6"/>
        <v>-1.4820735999998433</v>
      </c>
      <c r="C59" s="2">
        <v>-0.79462102689485947</v>
      </c>
    </row>
    <row r="60" spans="1:3" x14ac:dyDescent="0.25">
      <c r="A60" s="1">
        <v>65</v>
      </c>
      <c r="B60" s="397">
        <f t="shared" si="6"/>
        <v>-1.4652782093744818</v>
      </c>
      <c r="C60" s="2">
        <v>-1.0391198044009675</v>
      </c>
    </row>
    <row r="61" spans="1:3" x14ac:dyDescent="0.25">
      <c r="A61" s="1">
        <v>70</v>
      </c>
      <c r="B61" s="397">
        <f t="shared" si="6"/>
        <v>-1.0603593999993919</v>
      </c>
      <c r="C61" s="2">
        <v>-0.73349633251833524</v>
      </c>
    </row>
    <row r="62" spans="1:3" x14ac:dyDescent="0.25">
      <c r="A62" s="1">
        <v>75</v>
      </c>
      <c r="B62" s="397">
        <f t="shared" si="6"/>
        <v>-0.3638183593746831</v>
      </c>
      <c r="C62" s="2">
        <v>0</v>
      </c>
    </row>
    <row r="63" spans="1:3" x14ac:dyDescent="0.25">
      <c r="A63" s="1">
        <v>80</v>
      </c>
      <c r="B63" s="397">
        <f t="shared" si="6"/>
        <v>0.46879360000072978</v>
      </c>
      <c r="C63" s="2">
        <v>0.48899755501223829</v>
      </c>
    </row>
    <row r="64" spans="1:3" x14ac:dyDescent="0.25">
      <c r="A64" s="1">
        <v>85</v>
      </c>
      <c r="B64" s="397">
        <f t="shared" si="6"/>
        <v>1.2689771656258912</v>
      </c>
      <c r="C64" s="2">
        <v>1.344743276283622</v>
      </c>
    </row>
    <row r="65" spans="1:3" x14ac:dyDescent="0.25">
      <c r="A65" s="1">
        <v>90</v>
      </c>
      <c r="B65" s="397">
        <f t="shared" si="6"/>
        <v>1.924105399999938</v>
      </c>
      <c r="C65" s="2">
        <v>2.2004889975550057</v>
      </c>
    </row>
    <row r="66" spans="1:3" x14ac:dyDescent="0.25">
      <c r="A66" s="1">
        <v>95</v>
      </c>
      <c r="B66" s="397">
        <f t="shared" si="6"/>
        <v>2.4689623656255648</v>
      </c>
      <c r="C66" s="2">
        <v>2.8728606356968278</v>
      </c>
    </row>
    <row r="67" spans="1:3" x14ac:dyDescent="0.25">
      <c r="A67" s="1">
        <v>100</v>
      </c>
      <c r="B67" s="397">
        <f t="shared" si="6"/>
        <v>3.199999999999612</v>
      </c>
      <c r="C67" s="2">
        <v>3.4841075794621146</v>
      </c>
    </row>
  </sheetData>
  <phoneticPr fontId="61" type="noConversion"/>
  <pageMargins left="0.75" right="0.75" top="1" bottom="1" header="0" footer="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1"/>
  <sheetViews>
    <sheetView topLeftCell="A25" workbookViewId="0">
      <selection activeCell="C72" sqref="C72"/>
    </sheetView>
  </sheetViews>
  <sheetFormatPr defaultRowHeight="13.2" x14ac:dyDescent="0.25"/>
  <cols>
    <col min="4" max="4" width="9.21875" bestFit="1" customWidth="1"/>
  </cols>
  <sheetData>
    <row r="2" spans="2:6" x14ac:dyDescent="0.25">
      <c r="B2" s="396" t="s">
        <v>160</v>
      </c>
      <c r="C2" s="396" t="s">
        <v>389</v>
      </c>
      <c r="D2" s="396"/>
      <c r="E2" s="396" t="s">
        <v>390</v>
      </c>
      <c r="F2" s="396"/>
    </row>
    <row r="3" spans="2:6" x14ac:dyDescent="0.25">
      <c r="B3" s="1">
        <v>25</v>
      </c>
      <c r="C3" s="1">
        <v>175</v>
      </c>
      <c r="D3" s="3">
        <f t="shared" ref="D3:D18" si="0">(C3/C$12-1)*100</f>
        <v>6.7073170731707377</v>
      </c>
      <c r="E3" s="1">
        <v>179</v>
      </c>
      <c r="F3" s="3">
        <f t="shared" ref="F3:F18" si="1">(E3/E$14-1)*100</f>
        <v>6.5476190476190466</v>
      </c>
    </row>
    <row r="4" spans="2:6" x14ac:dyDescent="0.25">
      <c r="B4" s="1">
        <v>30</v>
      </c>
      <c r="C4" s="1">
        <v>173</v>
      </c>
      <c r="D4" s="3">
        <f t="shared" si="0"/>
        <v>5.4878048780487854</v>
      </c>
      <c r="E4" s="1">
        <v>177</v>
      </c>
      <c r="F4" s="3">
        <f t="shared" si="1"/>
        <v>5.3571428571428603</v>
      </c>
    </row>
    <row r="5" spans="2:6" x14ac:dyDescent="0.25">
      <c r="B5" s="1">
        <v>35</v>
      </c>
      <c r="C5" s="1">
        <v>171.3</v>
      </c>
      <c r="D5" s="3">
        <f t="shared" si="0"/>
        <v>4.451219512195137</v>
      </c>
      <c r="E5" s="1">
        <v>175.1</v>
      </c>
      <c r="F5" s="3">
        <f t="shared" si="1"/>
        <v>4.2261904761904834</v>
      </c>
    </row>
    <row r="6" spans="2:6" x14ac:dyDescent="0.25">
      <c r="B6" s="1">
        <v>40</v>
      </c>
      <c r="C6" s="1">
        <v>169.8</v>
      </c>
      <c r="D6" s="3">
        <f t="shared" si="0"/>
        <v>3.5365853658536617</v>
      </c>
      <c r="E6" s="1">
        <v>173.4</v>
      </c>
      <c r="F6" s="3">
        <f t="shared" si="1"/>
        <v>3.2142857142857251</v>
      </c>
    </row>
    <row r="7" spans="2:6" x14ac:dyDescent="0.25">
      <c r="B7" s="1">
        <v>45</v>
      </c>
      <c r="C7" s="1">
        <v>168.2</v>
      </c>
      <c r="D7" s="3">
        <f t="shared" si="0"/>
        <v>2.5609756097560998</v>
      </c>
      <c r="E7" s="1">
        <v>172.2</v>
      </c>
      <c r="F7" s="3">
        <f t="shared" si="1"/>
        <v>2.4999999999999911</v>
      </c>
    </row>
    <row r="8" spans="2:6" x14ac:dyDescent="0.25">
      <c r="B8" s="1">
        <v>50</v>
      </c>
      <c r="C8" s="1">
        <v>167</v>
      </c>
      <c r="D8" s="3">
        <f t="shared" si="0"/>
        <v>1.8292682926829285</v>
      </c>
      <c r="E8" s="1">
        <v>171</v>
      </c>
      <c r="F8" s="3">
        <f t="shared" si="1"/>
        <v>1.7857142857142794</v>
      </c>
    </row>
    <row r="9" spans="2:6" x14ac:dyDescent="0.25">
      <c r="B9" s="1">
        <v>55</v>
      </c>
      <c r="C9" s="1">
        <v>165.8</v>
      </c>
      <c r="D9" s="3">
        <f t="shared" si="0"/>
        <v>1.0975609756097571</v>
      </c>
      <c r="E9" s="1">
        <v>170.1</v>
      </c>
      <c r="F9" s="3">
        <f t="shared" si="1"/>
        <v>1.2499999999999956</v>
      </c>
    </row>
    <row r="10" spans="2:6" x14ac:dyDescent="0.25">
      <c r="B10" s="1">
        <v>60</v>
      </c>
      <c r="C10" s="1">
        <v>164.8</v>
      </c>
      <c r="D10" s="3">
        <f t="shared" si="0"/>
        <v>0.48780487804878092</v>
      </c>
      <c r="E10" s="1">
        <v>169.3</v>
      </c>
      <c r="F10" s="3">
        <f t="shared" si="1"/>
        <v>0.77380952380952106</v>
      </c>
    </row>
    <row r="11" spans="2:6" x14ac:dyDescent="0.25">
      <c r="B11" s="1">
        <v>65</v>
      </c>
      <c r="C11" s="1">
        <v>164.2</v>
      </c>
      <c r="D11" s="3">
        <f t="shared" si="0"/>
        <v>0.12195121951219523</v>
      </c>
      <c r="E11" s="1">
        <v>168.7</v>
      </c>
      <c r="F11" s="3">
        <f t="shared" si="1"/>
        <v>0.41666666666666519</v>
      </c>
    </row>
    <row r="12" spans="2:6" x14ac:dyDescent="0.25">
      <c r="B12" s="1">
        <v>70</v>
      </c>
      <c r="C12" s="1">
        <v>164</v>
      </c>
      <c r="D12" s="3">
        <f t="shared" si="0"/>
        <v>0</v>
      </c>
      <c r="E12" s="1">
        <v>168.3</v>
      </c>
      <c r="F12" s="3">
        <f t="shared" si="1"/>
        <v>0.17857142857142794</v>
      </c>
    </row>
    <row r="13" spans="2:6" x14ac:dyDescent="0.25">
      <c r="B13" s="1">
        <v>75</v>
      </c>
      <c r="C13" s="1">
        <v>164.1</v>
      </c>
      <c r="D13" s="3">
        <f t="shared" si="0"/>
        <v>6.0975609756086513E-2</v>
      </c>
      <c r="E13" s="1">
        <v>168.1</v>
      </c>
      <c r="F13" s="3">
        <f t="shared" si="1"/>
        <v>5.9523809523809312E-2</v>
      </c>
    </row>
    <row r="14" spans="2:6" x14ac:dyDescent="0.25">
      <c r="B14" s="1">
        <v>80</v>
      </c>
      <c r="C14" s="1">
        <v>164.3</v>
      </c>
      <c r="D14" s="3">
        <f t="shared" si="0"/>
        <v>0.18292682926830395</v>
      </c>
      <c r="E14" s="1">
        <v>168</v>
      </c>
      <c r="F14" s="3">
        <f t="shared" si="1"/>
        <v>0</v>
      </c>
    </row>
    <row r="15" spans="2:6" x14ac:dyDescent="0.25">
      <c r="B15" s="1">
        <v>85</v>
      </c>
      <c r="C15" s="1">
        <v>165</v>
      </c>
      <c r="D15" s="3">
        <f t="shared" si="0"/>
        <v>0.60975609756097615</v>
      </c>
      <c r="E15" s="1">
        <v>168.3</v>
      </c>
      <c r="F15" s="3">
        <f t="shared" si="1"/>
        <v>0.17857142857142794</v>
      </c>
    </row>
    <row r="16" spans="2:6" x14ac:dyDescent="0.25">
      <c r="B16" s="1">
        <v>90</v>
      </c>
      <c r="C16" s="1">
        <v>165.8</v>
      </c>
      <c r="D16" s="3">
        <f t="shared" si="0"/>
        <v>1.0975609756097571</v>
      </c>
      <c r="E16" s="1">
        <v>168.8</v>
      </c>
      <c r="F16" s="3">
        <f t="shared" si="1"/>
        <v>0.4761904761904745</v>
      </c>
    </row>
    <row r="17" spans="2:6" x14ac:dyDescent="0.25">
      <c r="B17" s="1">
        <v>95</v>
      </c>
      <c r="C17" s="1">
        <v>166.8</v>
      </c>
      <c r="D17" s="3">
        <f t="shared" si="0"/>
        <v>1.7073170731707332</v>
      </c>
      <c r="E17" s="1">
        <v>169.7</v>
      </c>
      <c r="F17" s="3">
        <f t="shared" si="1"/>
        <v>1.0119047619047583</v>
      </c>
    </row>
    <row r="18" spans="2:6" x14ac:dyDescent="0.25">
      <c r="B18" s="1">
        <v>100</v>
      </c>
      <c r="C18" s="1">
        <v>168</v>
      </c>
      <c r="D18" s="3">
        <f t="shared" si="0"/>
        <v>2.4390243902439046</v>
      </c>
      <c r="E18" s="1">
        <v>171</v>
      </c>
      <c r="F18" s="3">
        <f t="shared" si="1"/>
        <v>1.7857142857142794</v>
      </c>
    </row>
    <row r="19" spans="2:6" x14ac:dyDescent="0.25">
      <c r="B19" s="1">
        <v>25</v>
      </c>
      <c r="C19" s="1"/>
      <c r="D19" s="2">
        <v>6.5476190476190466</v>
      </c>
      <c r="E19" s="1"/>
      <c r="F19" s="1"/>
    </row>
    <row r="20" spans="2:6" x14ac:dyDescent="0.25">
      <c r="B20" s="1">
        <v>30</v>
      </c>
      <c r="C20" s="1"/>
      <c r="D20" s="2">
        <v>5.3571428571428603</v>
      </c>
      <c r="E20" s="1"/>
      <c r="F20" s="1"/>
    </row>
    <row r="21" spans="2:6" x14ac:dyDescent="0.25">
      <c r="B21" s="1">
        <v>35</v>
      </c>
      <c r="C21" s="1"/>
      <c r="D21" s="2">
        <v>4.2261904761904834</v>
      </c>
      <c r="E21" s="1"/>
      <c r="F21" s="1"/>
    </row>
    <row r="22" spans="2:6" x14ac:dyDescent="0.25">
      <c r="B22" s="1">
        <v>40</v>
      </c>
      <c r="C22" s="1"/>
      <c r="D22" s="2">
        <v>3.2142857142857251</v>
      </c>
      <c r="E22" s="1"/>
      <c r="F22" s="1"/>
    </row>
    <row r="23" spans="2:6" x14ac:dyDescent="0.25">
      <c r="B23" s="1">
        <v>45</v>
      </c>
      <c r="C23" s="1"/>
      <c r="D23" s="2">
        <v>2.4999999999999911</v>
      </c>
      <c r="E23" s="1"/>
      <c r="F23" s="1"/>
    </row>
    <row r="24" spans="2:6" x14ac:dyDescent="0.25">
      <c r="B24" s="1">
        <v>50</v>
      </c>
      <c r="C24" s="1"/>
      <c r="D24" s="2">
        <v>1.7857142857142794</v>
      </c>
      <c r="E24" s="1"/>
      <c r="F24" s="1"/>
    </row>
    <row r="25" spans="2:6" x14ac:dyDescent="0.25">
      <c r="B25" s="1">
        <v>55</v>
      </c>
      <c r="C25" s="1"/>
      <c r="D25" s="2">
        <v>1.25</v>
      </c>
      <c r="E25" s="1"/>
      <c r="F25" s="1"/>
    </row>
    <row r="26" spans="2:6" x14ac:dyDescent="0.25">
      <c r="B26" s="1">
        <v>60</v>
      </c>
      <c r="C26" s="1"/>
      <c r="D26" s="2">
        <v>0.77380952380952106</v>
      </c>
      <c r="E26" s="1"/>
      <c r="F26" s="1"/>
    </row>
    <row r="27" spans="2:6" x14ac:dyDescent="0.25">
      <c r="B27" s="1">
        <v>65</v>
      </c>
      <c r="C27" s="1"/>
      <c r="D27" s="2">
        <v>0.41666666666666519</v>
      </c>
      <c r="E27" s="1"/>
      <c r="F27" s="1"/>
    </row>
    <row r="28" spans="2:6" x14ac:dyDescent="0.25">
      <c r="B28" s="1">
        <v>70</v>
      </c>
      <c r="C28" s="1"/>
      <c r="D28" s="2">
        <v>0.17857142857142794</v>
      </c>
      <c r="E28" s="1"/>
      <c r="F28" s="1"/>
    </row>
    <row r="29" spans="2:6" x14ac:dyDescent="0.25">
      <c r="B29" s="1">
        <v>75</v>
      </c>
      <c r="C29" s="1"/>
      <c r="D29" s="2">
        <v>5.9523809523809312E-2</v>
      </c>
      <c r="E29" s="1"/>
      <c r="F29" s="1"/>
    </row>
    <row r="30" spans="2:6" x14ac:dyDescent="0.25">
      <c r="B30" s="1">
        <v>80</v>
      </c>
      <c r="C30" s="1"/>
      <c r="D30" s="2">
        <v>0</v>
      </c>
      <c r="E30" s="1"/>
      <c r="F30" s="1"/>
    </row>
    <row r="31" spans="2:6" x14ac:dyDescent="0.25">
      <c r="B31" s="1">
        <v>85</v>
      </c>
      <c r="C31" s="1"/>
      <c r="D31" s="2">
        <v>0.17857142857142794</v>
      </c>
      <c r="E31" s="1"/>
      <c r="F31" s="1"/>
    </row>
    <row r="32" spans="2:6" x14ac:dyDescent="0.25">
      <c r="B32" s="1">
        <v>90</v>
      </c>
      <c r="C32" s="1"/>
      <c r="D32" s="2">
        <v>0.4761904761904745</v>
      </c>
      <c r="E32" s="1"/>
      <c r="F32" s="1"/>
    </row>
    <row r="33" spans="2:6" x14ac:dyDescent="0.25">
      <c r="B33" s="1">
        <v>95</v>
      </c>
      <c r="C33" s="1"/>
      <c r="D33" s="2">
        <v>1.0119047619047583</v>
      </c>
      <c r="E33" s="1"/>
      <c r="F33" s="1"/>
    </row>
    <row r="34" spans="2:6" x14ac:dyDescent="0.25">
      <c r="B34" s="1">
        <v>100</v>
      </c>
      <c r="C34" s="1"/>
      <c r="D34" s="2">
        <v>1.7857142857142794</v>
      </c>
      <c r="E34" s="1"/>
      <c r="F34" s="1"/>
    </row>
    <row r="35" spans="2:6" x14ac:dyDescent="0.25">
      <c r="B35" s="1"/>
      <c r="C35" s="1"/>
      <c r="D35" s="2"/>
      <c r="E35" s="1"/>
      <c r="F35" s="1"/>
    </row>
    <row r="36" spans="2:6" x14ac:dyDescent="0.25">
      <c r="B36" s="1">
        <v>25</v>
      </c>
      <c r="C36" s="1"/>
      <c r="D36" s="397">
        <f t="shared" ref="D36:D51" si="2">0.0028*B36^2-0.41*B36+15</f>
        <v>6.5</v>
      </c>
      <c r="E36" s="1"/>
      <c r="F36" s="1"/>
    </row>
    <row r="37" spans="2:6" x14ac:dyDescent="0.25">
      <c r="B37" s="1">
        <v>30</v>
      </c>
      <c r="C37" s="1"/>
      <c r="D37" s="397">
        <f t="shared" si="2"/>
        <v>5.2200000000000006</v>
      </c>
      <c r="E37" s="1"/>
      <c r="F37" s="1"/>
    </row>
    <row r="38" spans="2:6" x14ac:dyDescent="0.25">
      <c r="B38" s="1">
        <v>35</v>
      </c>
      <c r="C38" s="1"/>
      <c r="D38" s="397">
        <f t="shared" si="2"/>
        <v>4.08</v>
      </c>
      <c r="E38" s="1"/>
      <c r="F38" s="1"/>
    </row>
    <row r="39" spans="2:6" x14ac:dyDescent="0.25">
      <c r="B39" s="1">
        <v>40</v>
      </c>
      <c r="C39" s="1"/>
      <c r="D39" s="397">
        <f t="shared" si="2"/>
        <v>3.0800000000000018</v>
      </c>
      <c r="E39" s="1"/>
      <c r="F39" s="1"/>
    </row>
    <row r="40" spans="2:6" x14ac:dyDescent="0.25">
      <c r="B40" s="1">
        <v>45</v>
      </c>
      <c r="C40" s="1"/>
      <c r="D40" s="397">
        <f t="shared" si="2"/>
        <v>2.2200000000000006</v>
      </c>
      <c r="E40" s="1"/>
      <c r="F40" s="1"/>
    </row>
    <row r="41" spans="2:6" x14ac:dyDescent="0.25">
      <c r="B41" s="1">
        <v>50</v>
      </c>
      <c r="C41" s="1"/>
      <c r="D41" s="397">
        <f t="shared" si="2"/>
        <v>1.5</v>
      </c>
      <c r="E41" s="1"/>
      <c r="F41" s="1"/>
    </row>
    <row r="42" spans="2:6" x14ac:dyDescent="0.25">
      <c r="B42" s="1">
        <v>55</v>
      </c>
      <c r="C42" s="1"/>
      <c r="D42" s="397">
        <f t="shared" si="2"/>
        <v>0.92000000000000348</v>
      </c>
      <c r="E42" s="1"/>
      <c r="F42" s="1"/>
    </row>
    <row r="43" spans="2:6" x14ac:dyDescent="0.25">
      <c r="B43" s="1">
        <v>60</v>
      </c>
      <c r="C43" s="1"/>
      <c r="D43" s="397">
        <f t="shared" si="2"/>
        <v>0.4800000000000022</v>
      </c>
      <c r="E43" s="1"/>
      <c r="F43" s="1"/>
    </row>
    <row r="44" spans="2:6" x14ac:dyDescent="0.25">
      <c r="B44" s="1">
        <v>65</v>
      </c>
      <c r="C44" s="1"/>
      <c r="D44" s="397">
        <f t="shared" si="2"/>
        <v>0.18000000000000149</v>
      </c>
      <c r="E44" s="1"/>
      <c r="F44" s="1"/>
    </row>
    <row r="45" spans="2:6" x14ac:dyDescent="0.25">
      <c r="B45" s="1">
        <v>70</v>
      </c>
      <c r="C45" s="1"/>
      <c r="D45" s="397">
        <f t="shared" si="2"/>
        <v>2.000000000000135E-2</v>
      </c>
      <c r="E45" s="1"/>
      <c r="F45" s="1"/>
    </row>
    <row r="46" spans="2:6" x14ac:dyDescent="0.25">
      <c r="B46" s="1">
        <v>75</v>
      </c>
      <c r="C46" s="1"/>
      <c r="D46" s="397">
        <f t="shared" si="2"/>
        <v>0</v>
      </c>
      <c r="E46" s="1"/>
      <c r="F46" s="1"/>
    </row>
    <row r="47" spans="2:6" x14ac:dyDescent="0.25">
      <c r="B47" s="1">
        <v>80</v>
      </c>
      <c r="C47" s="1"/>
      <c r="D47" s="397">
        <f t="shared" si="2"/>
        <v>0.12000000000000099</v>
      </c>
      <c r="E47" s="1"/>
      <c r="F47" s="1"/>
    </row>
    <row r="48" spans="2:6" x14ac:dyDescent="0.25">
      <c r="B48" s="1">
        <v>85</v>
      </c>
      <c r="C48" s="1"/>
      <c r="D48" s="397">
        <f t="shared" si="2"/>
        <v>0.37999999999999901</v>
      </c>
      <c r="E48" s="1"/>
      <c r="F48" s="1"/>
    </row>
    <row r="49" spans="2:6" x14ac:dyDescent="0.25">
      <c r="B49" s="1">
        <v>90</v>
      </c>
      <c r="C49" s="1"/>
      <c r="D49" s="397">
        <f t="shared" si="2"/>
        <v>0.78000000000000114</v>
      </c>
      <c r="E49" s="1"/>
      <c r="F49" s="1"/>
    </row>
    <row r="50" spans="2:6" x14ac:dyDescent="0.25">
      <c r="B50" s="1">
        <v>95</v>
      </c>
      <c r="C50" s="1"/>
      <c r="D50" s="397">
        <f t="shared" si="2"/>
        <v>1.3200000000000038</v>
      </c>
      <c r="E50" s="1"/>
      <c r="F50" s="1"/>
    </row>
    <row r="51" spans="2:6" x14ac:dyDescent="0.25">
      <c r="B51" s="1">
        <v>100</v>
      </c>
      <c r="C51" s="1"/>
      <c r="D51" s="397">
        <f t="shared" si="2"/>
        <v>2</v>
      </c>
      <c r="E51" s="1"/>
      <c r="F51" s="1"/>
    </row>
  </sheetData>
  <phoneticPr fontId="61" type="noConversion"/>
  <pageMargins left="0.75" right="0.75" top="1" bottom="1" header="0" footer="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57"/>
  <sheetViews>
    <sheetView topLeftCell="A25" workbookViewId="0">
      <selection activeCell="C28" sqref="C28"/>
    </sheetView>
  </sheetViews>
  <sheetFormatPr defaultRowHeight="13.2" x14ac:dyDescent="0.25"/>
  <cols>
    <col min="1" max="1" width="13.5546875" bestFit="1" customWidth="1"/>
  </cols>
  <sheetData>
    <row r="3" spans="1:4" x14ac:dyDescent="0.25">
      <c r="B3" s="396" t="s">
        <v>503</v>
      </c>
    </row>
    <row r="5" spans="1:4" x14ac:dyDescent="0.25">
      <c r="A5" s="920" t="s">
        <v>497</v>
      </c>
      <c r="B5" s="921">
        <v>5</v>
      </c>
      <c r="C5" s="921">
        <v>6</v>
      </c>
      <c r="D5" s="921">
        <v>7</v>
      </c>
    </row>
    <row r="6" spans="1:4" x14ac:dyDescent="0.25">
      <c r="A6" s="925" t="s">
        <v>504</v>
      </c>
      <c r="B6" s="921"/>
      <c r="C6" s="921"/>
      <c r="D6" s="921"/>
    </row>
    <row r="7" spans="1:4" x14ac:dyDescent="0.25">
      <c r="A7" s="920" t="s">
        <v>498</v>
      </c>
      <c r="B7" s="921">
        <v>48.496339109463982</v>
      </c>
      <c r="C7" s="921">
        <v>99.2972923693968</v>
      </c>
      <c r="D7" s="921">
        <v>164.15837081568989</v>
      </c>
    </row>
    <row r="8" spans="1:4" x14ac:dyDescent="0.25">
      <c r="A8" s="920" t="s">
        <v>499</v>
      </c>
      <c r="B8" s="921">
        <v>58.480037346188212</v>
      </c>
      <c r="C8" s="921">
        <v>119.73912820575121</v>
      </c>
      <c r="D8" s="921">
        <v>218.96474577391794</v>
      </c>
    </row>
    <row r="9" spans="1:4" x14ac:dyDescent="0.25">
      <c r="A9" s="920"/>
      <c r="B9" s="921">
        <f>(B7-B8)/B7*100</f>
        <v>-20.586498733831082</v>
      </c>
      <c r="C9" s="921">
        <f>(C7-C8)/C7*100</f>
        <v>-20.586498733831078</v>
      </c>
      <c r="D9" s="921">
        <f>(D7-D8)/D7*100</f>
        <v>-33.386280995540787</v>
      </c>
    </row>
    <row r="10" spans="1:4" x14ac:dyDescent="0.25">
      <c r="A10" s="925" t="s">
        <v>500</v>
      </c>
      <c r="B10" s="921"/>
      <c r="C10" s="921"/>
      <c r="D10" s="921"/>
    </row>
    <row r="11" spans="1:4" x14ac:dyDescent="0.25">
      <c r="A11" s="920" t="s">
        <v>498</v>
      </c>
      <c r="B11" s="921">
        <v>47.370803419787883</v>
      </c>
      <c r="C11" s="921">
        <v>96.992733953189642</v>
      </c>
      <c r="D11" s="921">
        <v>168.84269984777805</v>
      </c>
    </row>
    <row r="12" spans="1:4" x14ac:dyDescent="0.25">
      <c r="A12" s="920" t="s">
        <v>499</v>
      </c>
      <c r="B12" s="921">
        <v>53.41172304010491</v>
      </c>
      <c r="C12" s="921">
        <v>109.3616461790112</v>
      </c>
      <c r="D12" s="921">
        <v>199.98763488453545</v>
      </c>
    </row>
    <row r="13" spans="1:4" x14ac:dyDescent="0.25">
      <c r="A13" s="920"/>
      <c r="B13" s="921">
        <f>(B11-B12)/B11*100</f>
        <v>-12.75241115668643</v>
      </c>
      <c r="C13" s="921">
        <f>(C11-C12)/C11*100</f>
        <v>-12.752411156686241</v>
      </c>
      <c r="D13" s="921">
        <f>(D11-D12)/D11*100</f>
        <v>-18.446124745006124</v>
      </c>
    </row>
    <row r="14" spans="1:4" x14ac:dyDescent="0.25">
      <c r="A14" s="925" t="s">
        <v>501</v>
      </c>
      <c r="B14" s="921"/>
      <c r="C14" s="921"/>
      <c r="D14" s="921"/>
    </row>
    <row r="15" spans="1:4" x14ac:dyDescent="0.25">
      <c r="A15" s="920" t="s">
        <v>498</v>
      </c>
      <c r="B15" s="921">
        <v>47.811578591866777</v>
      </c>
      <c r="C15" s="921">
        <v>97.895230552619353</v>
      </c>
      <c r="D15" s="921">
        <v>165.88974894581642</v>
      </c>
    </row>
    <row r="16" spans="1:4" x14ac:dyDescent="0.25">
      <c r="A16" s="920" t="s">
        <v>499</v>
      </c>
      <c r="B16" s="921">
        <v>48.622135436062308</v>
      </c>
      <c r="C16" s="921">
        <v>99.554863040721798</v>
      </c>
      <c r="D16" s="921">
        <v>182.05415057650168</v>
      </c>
    </row>
    <row r="17" spans="1:4" x14ac:dyDescent="0.25">
      <c r="A17" s="920"/>
      <c r="B17" s="921">
        <f>(B15-B16)/B15*100</f>
        <v>-1.6953149594048649</v>
      </c>
      <c r="C17" s="921">
        <f>(C15-C16)/C15*100</f>
        <v>-1.6953149594048731</v>
      </c>
      <c r="D17" s="921">
        <f>(D15-D16)/D15*100</f>
        <v>-9.7440629896696898</v>
      </c>
    </row>
    <row r="18" spans="1:4" x14ac:dyDescent="0.25">
      <c r="A18" s="925" t="s">
        <v>502</v>
      </c>
      <c r="B18" s="921"/>
      <c r="C18" s="921"/>
      <c r="D18" s="921"/>
    </row>
    <row r="19" spans="1:4" x14ac:dyDescent="0.25">
      <c r="A19" s="920" t="s">
        <v>498</v>
      </c>
      <c r="B19" s="921">
        <v>47.12660338341977</v>
      </c>
      <c r="C19" s="921">
        <v>96.492729151731893</v>
      </c>
      <c r="D19" s="921">
        <v>160.54902125790335</v>
      </c>
    </row>
    <row r="20" spans="1:4" x14ac:dyDescent="0.25">
      <c r="A20" s="920" t="s">
        <v>499</v>
      </c>
      <c r="B20" s="921">
        <v>43.832547832019706</v>
      </c>
      <c r="C20" s="921">
        <v>89.748079902432394</v>
      </c>
      <c r="D20" s="921">
        <v>164.12066626846789</v>
      </c>
    </row>
    <row r="21" spans="1:4" x14ac:dyDescent="0.25">
      <c r="A21" s="920"/>
      <c r="B21" s="921">
        <f>(B19-B20)/B19*100</f>
        <v>6.9898004840276444</v>
      </c>
      <c r="C21" s="921">
        <f>(C19-C20)/C19*100</f>
        <v>6.9898004840279135</v>
      </c>
      <c r="D21" s="921">
        <f>(D19-D20)/D19*100</f>
        <v>-2.2246445245076298</v>
      </c>
    </row>
    <row r="22" spans="1:4" x14ac:dyDescent="0.25">
      <c r="A22" s="925" t="s">
        <v>505</v>
      </c>
      <c r="B22" s="921"/>
      <c r="C22" s="921"/>
      <c r="D22" s="921"/>
    </row>
    <row r="23" spans="1:4" x14ac:dyDescent="0.25">
      <c r="A23" s="920" t="s">
        <v>498</v>
      </c>
      <c r="B23" s="921">
        <v>45.872289112830707</v>
      </c>
      <c r="C23" s="921">
        <v>93.924493834656005</v>
      </c>
      <c r="D23" s="921">
        <v>153.99955849120178</v>
      </c>
    </row>
    <row r="24" spans="1:4" x14ac:dyDescent="0.25">
      <c r="A24" s="920" t="s">
        <v>499</v>
      </c>
      <c r="B24" s="921">
        <v>39.042960227977112</v>
      </c>
      <c r="C24" s="921">
        <v>79.94129676414299</v>
      </c>
      <c r="D24" s="921">
        <v>146.18718196043409</v>
      </c>
    </row>
    <row r="25" spans="1:4" x14ac:dyDescent="0.25">
      <c r="A25" s="920"/>
      <c r="B25" s="921">
        <f>(B23-B24)/B23*100</f>
        <v>14.887700214950463</v>
      </c>
      <c r="C25" s="921">
        <f>(C23-C24)/C23*100</f>
        <v>14.887700214950247</v>
      </c>
      <c r="D25" s="921">
        <f>(D23-D24)/D23*100</f>
        <v>5.0729863171744256</v>
      </c>
    </row>
    <row r="26" spans="1:4" x14ac:dyDescent="0.25">
      <c r="A26" s="925" t="s">
        <v>506</v>
      </c>
      <c r="B26" s="921"/>
      <c r="C26" s="921"/>
      <c r="D26" s="921"/>
    </row>
    <row r="27" spans="1:4" x14ac:dyDescent="0.25">
      <c r="A27" s="920" t="s">
        <v>498</v>
      </c>
      <c r="B27" s="921">
        <v>43.392579634659157</v>
      </c>
      <c r="C27" s="921">
        <v>88.84723560101142</v>
      </c>
      <c r="D27" s="921">
        <v>144.84765522515298</v>
      </c>
    </row>
    <row r="28" spans="1:4" x14ac:dyDescent="0.25">
      <c r="A28" s="920" t="s">
        <v>499</v>
      </c>
      <c r="B28" s="921">
        <v>34.25337262393451</v>
      </c>
      <c r="C28" s="921">
        <v>70.134513625853572</v>
      </c>
      <c r="D28" s="921">
        <v>128.25369765240029</v>
      </c>
    </row>
    <row r="29" spans="1:4" x14ac:dyDescent="0.25">
      <c r="A29" s="920"/>
      <c r="B29" s="921">
        <f>(B27-B28)/B27*100</f>
        <v>21.061681715333755</v>
      </c>
      <c r="C29" s="921">
        <f>(C27-C28)/C27*100</f>
        <v>21.061681715333894</v>
      </c>
      <c r="D29" s="921">
        <f>(D27-D28)/D27*100</f>
        <v>11.456145111192056</v>
      </c>
    </row>
    <row r="31" spans="1:4" x14ac:dyDescent="0.25">
      <c r="B31" s="396" t="s">
        <v>507</v>
      </c>
    </row>
    <row r="33" spans="1:4" x14ac:dyDescent="0.25">
      <c r="A33" s="920" t="s">
        <v>497</v>
      </c>
      <c r="B33" s="921">
        <v>5</v>
      </c>
      <c r="C33" s="921">
        <v>6</v>
      </c>
      <c r="D33" s="921">
        <v>7</v>
      </c>
    </row>
    <row r="34" spans="1:4" x14ac:dyDescent="0.25">
      <c r="A34" s="925" t="s">
        <v>508</v>
      </c>
      <c r="B34" s="921"/>
      <c r="C34" s="921"/>
      <c r="D34" s="921"/>
    </row>
    <row r="35" spans="1:4" x14ac:dyDescent="0.25">
      <c r="A35" s="920" t="s">
        <v>498</v>
      </c>
      <c r="B35" s="921">
        <v>91.587078491476191</v>
      </c>
      <c r="C35" s="921">
        <v>187.52650359235582</v>
      </c>
      <c r="D35" s="921">
        <v>297.12180597712478</v>
      </c>
    </row>
    <row r="36" spans="1:4" x14ac:dyDescent="0.25">
      <c r="A36" s="920" t="s">
        <v>499</v>
      </c>
      <c r="B36" s="921">
        <v>91.587078491476191</v>
      </c>
      <c r="C36" s="921">
        <v>187.52650359235582</v>
      </c>
      <c r="D36" s="921">
        <v>342.92627481314554</v>
      </c>
    </row>
    <row r="37" spans="1:4" x14ac:dyDescent="0.25">
      <c r="A37" s="920"/>
      <c r="B37" s="921">
        <f>(B35-B36)/B35*100</f>
        <v>0</v>
      </c>
      <c r="C37" s="921">
        <f>(C35-C36)/C35*100</f>
        <v>0</v>
      </c>
      <c r="D37" s="921">
        <f>(D35-D36)/D35*100</f>
        <v>-15.416057628414933</v>
      </c>
    </row>
    <row r="38" spans="1:4" x14ac:dyDescent="0.25">
      <c r="A38" s="925" t="s">
        <v>509</v>
      </c>
      <c r="B38" s="921"/>
      <c r="C38" s="921"/>
      <c r="D38" s="921"/>
    </row>
    <row r="39" spans="1:4" x14ac:dyDescent="0.25">
      <c r="A39" s="920" t="s">
        <v>498</v>
      </c>
      <c r="B39" s="921">
        <v>76.438826186221547</v>
      </c>
      <c r="C39" s="921">
        <v>156.51013275568076</v>
      </c>
      <c r="D39" s="921">
        <v>264.95050970767062</v>
      </c>
    </row>
    <row r="40" spans="1:4" x14ac:dyDescent="0.25">
      <c r="A40" s="920" t="s">
        <v>499</v>
      </c>
      <c r="B40" s="921">
        <v>82.538140035726499</v>
      </c>
      <c r="C40" s="921">
        <v>168.99860841566797</v>
      </c>
      <c r="D40" s="921">
        <v>309.04465300846636</v>
      </c>
    </row>
    <row r="41" spans="1:4" x14ac:dyDescent="0.25">
      <c r="A41" s="920"/>
      <c r="B41" s="921">
        <f>(B39-B40)/B39*100</f>
        <v>-7.9793400210590644</v>
      </c>
      <c r="C41" s="921">
        <f>(C39-C40)/C39*100</f>
        <v>-7.9793400210593903</v>
      </c>
      <c r="D41" s="921">
        <f>(D39-D40)/D39*100</f>
        <v>-16.642407425238162</v>
      </c>
    </row>
    <row r="42" spans="1:4" x14ac:dyDescent="0.25">
      <c r="A42" s="925" t="s">
        <v>501</v>
      </c>
      <c r="B42" s="921"/>
      <c r="C42" s="921"/>
      <c r="D42" s="921"/>
    </row>
    <row r="43" spans="1:4" x14ac:dyDescent="0.25">
      <c r="A43" s="920" t="s">
        <v>498</v>
      </c>
      <c r="B43" s="921">
        <v>73.032003052440089</v>
      </c>
      <c r="C43" s="921">
        <v>149.53458946771585</v>
      </c>
      <c r="D43" s="921">
        <v>245.40976641382304</v>
      </c>
    </row>
    <row r="44" spans="1:4" x14ac:dyDescent="0.25">
      <c r="A44" s="920" t="s">
        <v>499</v>
      </c>
      <c r="B44" s="921">
        <v>73.489201579976765</v>
      </c>
      <c r="C44" s="921">
        <v>150.47071323898007</v>
      </c>
      <c r="D44" s="921">
        <v>275.16303120378706</v>
      </c>
    </row>
    <row r="45" spans="1:4" x14ac:dyDescent="0.25">
      <c r="A45" s="920"/>
      <c r="B45" s="921">
        <f>(B43-B44)/B43*100</f>
        <v>-0.626024904737157</v>
      </c>
      <c r="C45" s="921">
        <f>(C43-C44)/C43*100</f>
        <v>-0.6260249047370593</v>
      </c>
      <c r="D45" s="921">
        <f>(D43-D44)/D43*100</f>
        <v>-12.123912273235483</v>
      </c>
    </row>
    <row r="46" spans="1:4" x14ac:dyDescent="0.25">
      <c r="A46" s="925" t="s">
        <v>502</v>
      </c>
      <c r="B46" s="921"/>
      <c r="C46" s="921"/>
      <c r="D46" s="921"/>
    </row>
    <row r="47" spans="1:4" x14ac:dyDescent="0.25">
      <c r="A47" s="920" t="s">
        <v>498</v>
      </c>
      <c r="B47" s="921">
        <v>70.058065909500968</v>
      </c>
      <c r="C47" s="921">
        <v>143.44538951173402</v>
      </c>
      <c r="D47" s="921">
        <v>228.94836158577834</v>
      </c>
    </row>
    <row r="48" spans="1:4" x14ac:dyDescent="0.25">
      <c r="A48" s="920" t="s">
        <v>499</v>
      </c>
      <c r="B48" s="921">
        <v>66.25005081537698</v>
      </c>
      <c r="C48" s="921">
        <v>135.64839709762975</v>
      </c>
      <c r="D48" s="921">
        <v>248.05773376004365</v>
      </c>
    </row>
    <row r="49" spans="1:4" x14ac:dyDescent="0.25">
      <c r="A49" s="920"/>
      <c r="B49" s="921">
        <f>(B47-B48)/B47*100</f>
        <v>5.4355127345980039</v>
      </c>
      <c r="C49" s="921">
        <f>(C47-C48)/C47*100</f>
        <v>5.4355127345981815</v>
      </c>
      <c r="D49" s="921">
        <f>(D47-D48)/D47*100</f>
        <v>-8.3465861218254407</v>
      </c>
    </row>
    <row r="50" spans="1:4" x14ac:dyDescent="0.25">
      <c r="A50" s="925" t="s">
        <v>505</v>
      </c>
      <c r="B50" s="921"/>
      <c r="C50" s="921"/>
      <c r="D50" s="921"/>
    </row>
    <row r="51" spans="1:4" x14ac:dyDescent="0.25">
      <c r="A51" s="920" t="s">
        <v>498</v>
      </c>
      <c r="B51" s="921">
        <v>45.872289112830707</v>
      </c>
      <c r="C51" s="921">
        <v>93.924493834656005</v>
      </c>
      <c r="D51" s="921">
        <v>153.99955849120178</v>
      </c>
    </row>
    <row r="52" spans="1:4" x14ac:dyDescent="0.25">
      <c r="A52" s="920" t="s">
        <v>499</v>
      </c>
      <c r="B52" s="921">
        <v>39.042960227977112</v>
      </c>
      <c r="C52" s="921">
        <v>79.94129676414299</v>
      </c>
      <c r="D52" s="921">
        <v>146.18718196043409</v>
      </c>
    </row>
    <row r="53" spans="1:4" x14ac:dyDescent="0.25">
      <c r="A53" s="920"/>
      <c r="B53" s="921">
        <f>(B51-B52)/B51*100</f>
        <v>14.887700214950463</v>
      </c>
      <c r="C53" s="921">
        <f>(C51-C52)/C51*100</f>
        <v>14.887700214950247</v>
      </c>
      <c r="D53" s="921">
        <f>(D51-D52)/D51*100</f>
        <v>5.0729863171744256</v>
      </c>
    </row>
    <row r="54" spans="1:4" x14ac:dyDescent="0.25">
      <c r="A54" s="925" t="s">
        <v>506</v>
      </c>
      <c r="B54" s="921"/>
      <c r="C54" s="921"/>
      <c r="D54" s="921"/>
    </row>
    <row r="55" spans="1:4" x14ac:dyDescent="0.25">
      <c r="A55" s="920" t="s">
        <v>498</v>
      </c>
      <c r="B55" s="921">
        <v>43.392579634659157</v>
      </c>
      <c r="C55" s="921">
        <v>88.84723560101142</v>
      </c>
      <c r="D55" s="921">
        <v>144.84765522515298</v>
      </c>
    </row>
    <row r="56" spans="1:4" x14ac:dyDescent="0.25">
      <c r="A56" s="920" t="s">
        <v>499</v>
      </c>
      <c r="B56" s="921">
        <v>34.25337262393451</v>
      </c>
      <c r="C56" s="921">
        <v>70.134513625853572</v>
      </c>
      <c r="D56" s="921">
        <v>128.25369765240029</v>
      </c>
    </row>
    <row r="57" spans="1:4" x14ac:dyDescent="0.25">
      <c r="A57" s="920"/>
      <c r="B57" s="921">
        <f>(B55-B56)/B55*100</f>
        <v>21.061681715333755</v>
      </c>
      <c r="C57" s="921">
        <f>(C55-C56)/C55*100</f>
        <v>21.061681715333894</v>
      </c>
      <c r="D57" s="921">
        <f>(D55-D56)/D55*100</f>
        <v>11.456145111192056</v>
      </c>
    </row>
  </sheetData>
  <phoneticPr fontId="7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tabColor indexed="34"/>
  </sheetPr>
  <dimension ref="A1:AU7558"/>
  <sheetViews>
    <sheetView tabSelected="1" topLeftCell="A31" zoomScaleNormal="100" workbookViewId="0">
      <selection activeCell="E92" sqref="E92"/>
    </sheetView>
  </sheetViews>
  <sheetFormatPr defaultRowHeight="13.2" x14ac:dyDescent="0.25"/>
  <cols>
    <col min="1" max="1" width="48.88671875" style="22" customWidth="1"/>
    <col min="2" max="2" width="10.33203125" style="220" customWidth="1"/>
    <col min="3" max="3" width="9.109375" style="220" customWidth="1"/>
    <col min="4" max="4" width="9.6640625" style="220" customWidth="1"/>
    <col min="5" max="5" width="9.44140625" style="220" customWidth="1"/>
    <col min="6" max="6" width="13.77734375" style="8" customWidth="1"/>
    <col min="7" max="7" width="15.5546875" style="8" bestFit="1" customWidth="1"/>
    <col min="8" max="9" width="18.44140625" style="8" bestFit="1" customWidth="1"/>
    <col min="10" max="14" width="9.5546875" style="8" bestFit="1" customWidth="1"/>
    <col min="15" max="21" width="9.5546875" style="22" bestFit="1" customWidth="1"/>
    <col min="22" max="42" width="9.5546875" bestFit="1" customWidth="1"/>
  </cols>
  <sheetData>
    <row r="1" spans="1:42" s="430" customFormat="1" ht="34.200000000000003" customHeight="1" thickBot="1" x14ac:dyDescent="0.3">
      <c r="A1" s="887" t="s">
        <v>260</v>
      </c>
      <c r="B1" s="904" t="s">
        <v>0</v>
      </c>
      <c r="C1" s="851" t="s">
        <v>5</v>
      </c>
      <c r="D1" s="764" t="s">
        <v>373</v>
      </c>
      <c r="E1" s="363" t="s">
        <v>374</v>
      </c>
      <c r="F1" s="485"/>
      <c r="G1" s="485"/>
      <c r="H1" s="485"/>
      <c r="I1" s="485"/>
      <c r="J1" s="485"/>
      <c r="K1" s="485"/>
      <c r="L1" s="485"/>
      <c r="M1" s="485"/>
      <c r="N1" s="485"/>
      <c r="O1" s="451"/>
      <c r="P1" s="451"/>
      <c r="Q1" s="451"/>
      <c r="R1" s="451"/>
      <c r="S1" s="451"/>
      <c r="T1" s="451"/>
      <c r="U1" s="451"/>
    </row>
    <row r="2" spans="1:42" s="488" customFormat="1" ht="57.45" customHeight="1" thickBot="1" x14ac:dyDescent="0.3">
      <c r="A2" s="888" t="s">
        <v>432</v>
      </c>
      <c r="B2" s="905" t="s">
        <v>3</v>
      </c>
      <c r="C2" s="852" t="str">
        <f>IF(C3&lt;10000,"Small tanker",IF(C3&lt;25000,"Handysize tanker",IF(C3&lt;55000,"Handymax tanker",IF(C3&lt;75000,"Panamax tanker",IF(C3&lt;120000,"Aframax tanker",IF(C3&lt;200000,"Suezmax tanker","VLCC"))))))</f>
        <v>Small tanker</v>
      </c>
      <c r="D2" s="765" t="str">
        <f>C2</f>
        <v>Small tanker</v>
      </c>
      <c r="E2" s="356" t="str">
        <f>C2</f>
        <v>Small tanker</v>
      </c>
      <c r="F2" s="486"/>
      <c r="G2" s="486"/>
      <c r="H2" s="486"/>
      <c r="I2" s="486"/>
      <c r="J2" s="486"/>
      <c r="K2" s="486"/>
      <c r="L2" s="486"/>
      <c r="M2" s="486"/>
      <c r="N2" s="486"/>
      <c r="O2" s="487"/>
      <c r="P2" s="487"/>
      <c r="Q2" s="487"/>
      <c r="R2" s="487"/>
      <c r="S2" s="487"/>
      <c r="T2" s="487"/>
      <c r="U2" s="487"/>
    </row>
    <row r="3" spans="1:42" s="430" customFormat="1" ht="15" customHeight="1" x14ac:dyDescent="0.25">
      <c r="A3" s="889" t="s">
        <v>306</v>
      </c>
      <c r="B3" s="906" t="s">
        <v>2</v>
      </c>
      <c r="C3" s="853">
        <v>2000</v>
      </c>
      <c r="D3" s="766">
        <f>C3</f>
        <v>2000</v>
      </c>
      <c r="E3" s="364">
        <f>C3</f>
        <v>2000</v>
      </c>
      <c r="F3" s="489"/>
      <c r="G3" s="489"/>
      <c r="H3" s="489"/>
      <c r="I3" s="489"/>
      <c r="J3" s="489"/>
      <c r="K3" s="489"/>
      <c r="L3" s="489"/>
      <c r="M3" s="489"/>
      <c r="N3" s="489"/>
      <c r="O3" s="424"/>
      <c r="P3" s="424"/>
      <c r="Q3" s="424"/>
      <c r="R3" s="424"/>
      <c r="S3" s="424"/>
      <c r="T3" s="424"/>
      <c r="U3" s="424"/>
      <c r="V3" s="490"/>
      <c r="W3" s="490"/>
      <c r="X3" s="490"/>
      <c r="Y3" s="490"/>
      <c r="Z3" s="490"/>
      <c r="AA3" s="490"/>
      <c r="AB3" s="490"/>
      <c r="AC3" s="490"/>
      <c r="AD3" s="490"/>
      <c r="AE3" s="490"/>
      <c r="AF3" s="490"/>
      <c r="AG3" s="490"/>
      <c r="AH3" s="490"/>
      <c r="AI3" s="490"/>
      <c r="AJ3" s="490"/>
      <c r="AK3" s="490"/>
      <c r="AL3" s="490"/>
      <c r="AM3" s="490"/>
      <c r="AN3" s="490"/>
      <c r="AO3" s="490"/>
      <c r="AP3" s="490"/>
    </row>
    <row r="4" spans="1:42" s="430" customFormat="1" ht="15" customHeight="1" x14ac:dyDescent="0.25">
      <c r="A4" s="890" t="s">
        <v>376</v>
      </c>
      <c r="B4" s="907"/>
      <c r="C4" s="854">
        <v>0</v>
      </c>
      <c r="D4" s="767">
        <v>0</v>
      </c>
      <c r="E4" s="450">
        <v>0</v>
      </c>
      <c r="F4" s="489"/>
      <c r="G4" s="489"/>
      <c r="H4" s="489"/>
      <c r="I4" s="489"/>
      <c r="J4" s="489"/>
      <c r="K4" s="489"/>
      <c r="L4" s="489"/>
      <c r="M4" s="489"/>
      <c r="N4" s="489"/>
      <c r="O4" s="424"/>
      <c r="P4" s="424"/>
      <c r="Q4" s="424"/>
      <c r="R4" s="424"/>
      <c r="S4" s="424"/>
      <c r="T4" s="424"/>
      <c r="U4" s="424"/>
      <c r="V4" s="490"/>
      <c r="W4" s="490"/>
      <c r="X4" s="490"/>
      <c r="Y4" s="490"/>
      <c r="Z4" s="490"/>
      <c r="AA4" s="490"/>
      <c r="AB4" s="490"/>
      <c r="AC4" s="490"/>
      <c r="AD4" s="490"/>
      <c r="AE4" s="490"/>
      <c r="AF4" s="490"/>
      <c r="AG4" s="490"/>
      <c r="AH4" s="490"/>
      <c r="AI4" s="490"/>
      <c r="AJ4" s="490"/>
      <c r="AK4" s="490"/>
      <c r="AL4" s="490"/>
      <c r="AM4" s="490"/>
      <c r="AN4" s="490"/>
      <c r="AO4" s="490"/>
      <c r="AP4" s="490"/>
    </row>
    <row r="5" spans="1:42" s="430" customFormat="1" ht="15" customHeight="1" x14ac:dyDescent="0.25">
      <c r="A5" s="890" t="s">
        <v>264</v>
      </c>
      <c r="B5" s="907" t="s">
        <v>1</v>
      </c>
      <c r="C5" s="221">
        <f>(1+C4/100)*IF(C3&lt;10000,4.65*C3^0.353,IF(C3&lt;25000,6.58*C3^0.31,IF(C3&lt;55000,38.65*C3^0.14,IF(C3&lt;80001,10.91*C3^0.268,IF(C3&lt;120000,23.03*C3^0.201,IF(C3&lt;200000,47.12*C3^0.144,IF(C3&lt;280000,159.03+0.000571*C3,211.1*C3^0.033)))))))</f>
        <v>68.032517392003882</v>
      </c>
      <c r="D5" s="768">
        <f>(1+D4/100)*IF(D3&lt;10000,4.65*D3^0.353,IF(D3&lt;25000,6.58*D3^0.31,IF(D3&lt;55000,38.65*D3^0.14,IF(D3&lt;80001,10.91*D3^0.268,IF(D3&lt;120000,23.03*D3^0.201,IF(D3&lt;200000,47.12*D3^0.144,IF(D3&lt;280000,159.03+0.000571*D3,211.1*D3^0.033)))))))</f>
        <v>68.032517392003882</v>
      </c>
      <c r="E5" s="431">
        <f>(1+E4/100)*IF(E3&lt;10000,4.65*E3^0.353,IF(E3&lt;25000,6.58*E3^0.31,IF(E3&lt;55000,38.65*E3^0.14,IF(E3&lt;80001,10.91*E3^0.268,IF(E3&lt;120000,23.03*E3^0.201,IF(E3&lt;200000,47.12*E3^0.144,IF(E3&lt;280000,159.03+0.000571*E3,211.1*E3^0.033)))))))</f>
        <v>68.032517392003882</v>
      </c>
      <c r="F5" s="491"/>
      <c r="G5" s="491"/>
      <c r="H5" s="491"/>
      <c r="I5" s="491"/>
      <c r="J5" s="491"/>
      <c r="K5" s="491"/>
      <c r="L5" s="491"/>
      <c r="M5" s="491"/>
      <c r="N5" s="491"/>
      <c r="O5" s="492"/>
      <c r="P5" s="492"/>
      <c r="Q5" s="492"/>
      <c r="R5" s="492"/>
      <c r="S5" s="492"/>
      <c r="T5" s="492"/>
      <c r="U5" s="492"/>
      <c r="V5" s="493"/>
      <c r="W5" s="493"/>
      <c r="X5" s="493"/>
      <c r="Y5" s="493"/>
      <c r="Z5" s="493"/>
      <c r="AA5" s="493"/>
      <c r="AB5" s="493"/>
      <c r="AC5" s="493"/>
      <c r="AD5" s="493"/>
      <c r="AE5" s="493"/>
      <c r="AF5" s="493"/>
      <c r="AG5" s="493"/>
      <c r="AH5" s="493"/>
      <c r="AI5" s="493"/>
      <c r="AJ5" s="493"/>
      <c r="AK5" s="493"/>
      <c r="AL5" s="493"/>
      <c r="AM5" s="493"/>
      <c r="AN5" s="493"/>
      <c r="AO5" s="493"/>
      <c r="AP5" s="493"/>
    </row>
    <row r="6" spans="1:42" s="430" customFormat="1" ht="15" customHeight="1" x14ac:dyDescent="0.25">
      <c r="A6" s="890" t="s">
        <v>265</v>
      </c>
      <c r="B6" s="907" t="s">
        <v>1</v>
      </c>
      <c r="C6" s="227">
        <f>C5*1.02</f>
        <v>69.39316773984396</v>
      </c>
      <c r="D6" s="769">
        <f>D5*1.02</f>
        <v>69.39316773984396</v>
      </c>
      <c r="E6" s="432">
        <f>E5*1.02</f>
        <v>69.39316773984396</v>
      </c>
      <c r="F6" s="491"/>
      <c r="G6" s="491"/>
      <c r="H6" s="491"/>
      <c r="I6" s="491"/>
      <c r="J6" s="491"/>
      <c r="K6" s="491"/>
      <c r="L6" s="491"/>
      <c r="M6" s="491"/>
      <c r="N6" s="491"/>
      <c r="O6" s="492"/>
      <c r="P6" s="492"/>
      <c r="Q6" s="492"/>
      <c r="R6" s="492"/>
      <c r="S6" s="492"/>
      <c r="T6" s="492"/>
      <c r="U6" s="492"/>
      <c r="V6" s="493"/>
      <c r="W6" s="493"/>
      <c r="X6" s="493"/>
      <c r="Y6" s="493"/>
      <c r="Z6" s="493"/>
      <c r="AA6" s="493"/>
      <c r="AB6" s="493"/>
      <c r="AC6" s="493"/>
      <c r="AD6" s="493"/>
      <c r="AE6" s="493"/>
      <c r="AF6" s="493"/>
      <c r="AG6" s="493"/>
      <c r="AH6" s="493"/>
      <c r="AI6" s="493"/>
      <c r="AJ6" s="493"/>
      <c r="AK6" s="493"/>
      <c r="AL6" s="493"/>
      <c r="AM6" s="493"/>
      <c r="AN6" s="493"/>
      <c r="AO6" s="493"/>
      <c r="AP6" s="493"/>
    </row>
    <row r="7" spans="1:42" s="430" customFormat="1" ht="15" customHeight="1" x14ac:dyDescent="0.25">
      <c r="A7" s="890" t="s">
        <v>266</v>
      </c>
      <c r="B7" s="907" t="s">
        <v>1</v>
      </c>
      <c r="C7" s="221">
        <f>IF(C3&lt;10000,1.496*C3^0.275,IF(C3&lt;25000,0.726*C3^0.353,IF(C3&lt;55000,MIN(0.634*C3^0.364,32.2),IF(C3&lt;80001,32.25,IF(C3&lt;120000,1.373*C3^0.2966,IF(C3&lt;200000,1.39*C3^0.2962,IF(C3&lt;280000,33.52+C3*0.0000907,13.684*C3^0.1164)))))))</f>
        <v>12.098035159762397</v>
      </c>
      <c r="D7" s="770">
        <f>IF(D3&lt;10000,1.496*D3^0.275,IF(D3&lt;25000,0.726*D3^0.353,IF(D3&lt;55000,MIN(0.634*D3^0.364,32.2),IF(D3&lt;80001,32.25,IF(D3&lt;120000,1.373*D3^0.2966,IF(D3&lt;200000,1.39*D3^0.2962,IF(D3&lt;280000,33.52+D3*0.0000907,13.684*D3^0.1164)))))))</f>
        <v>12.098035159762397</v>
      </c>
      <c r="E7" s="448">
        <f>IF(E3&lt;10000,1.496*E3^0.275,IF(E3&lt;25000,0.726*E3^0.353,IF(E3&lt;55000,MIN(0.634*E3^0.364,32.2),IF(E3&lt;80001,32.25,IF(E3&lt;120000,1.373*E3^0.2966,IF(E3&lt;200000,1.39*E3^0.2962,IF(E3&lt;280000,33.52+E3*0.0000907,13.684*E3^0.1164)))))))</f>
        <v>12.098035159762397</v>
      </c>
      <c r="F7" s="491"/>
      <c r="G7" s="491"/>
      <c r="H7" s="491"/>
      <c r="I7" s="491"/>
      <c r="J7" s="491"/>
      <c r="K7" s="491"/>
      <c r="L7" s="491"/>
      <c r="M7" s="491"/>
      <c r="N7" s="491"/>
      <c r="O7" s="492"/>
      <c r="P7" s="492"/>
      <c r="Q7" s="492"/>
      <c r="R7" s="492"/>
      <c r="S7" s="492"/>
      <c r="T7" s="492"/>
      <c r="U7" s="492"/>
      <c r="V7" s="493"/>
      <c r="W7" s="493"/>
      <c r="X7" s="493"/>
      <c r="Y7" s="493"/>
      <c r="Z7" s="493"/>
      <c r="AA7" s="493"/>
      <c r="AB7" s="493"/>
      <c r="AC7" s="493"/>
      <c r="AD7" s="493"/>
      <c r="AE7" s="493"/>
      <c r="AF7" s="493"/>
      <c r="AG7" s="493"/>
      <c r="AH7" s="493"/>
      <c r="AI7" s="493"/>
      <c r="AJ7" s="493"/>
      <c r="AK7" s="493"/>
      <c r="AL7" s="493"/>
      <c r="AM7" s="493"/>
      <c r="AN7" s="493"/>
      <c r="AO7" s="493"/>
      <c r="AP7" s="493"/>
    </row>
    <row r="8" spans="1:42" s="430" customFormat="1" ht="15" customHeight="1" x14ac:dyDescent="0.25">
      <c r="A8" s="890" t="s">
        <v>267</v>
      </c>
      <c r="B8" s="907" t="s">
        <v>1</v>
      </c>
      <c r="C8" s="221">
        <f>IF(C3&lt;10000,0.394*C3^0.347,IF(C3&lt;25000,0.417*C3^0.348,IF(C3&lt;55000,0.205*C3^0.4185,IF(C3&lt;80001,0.0323*C3^0.5763,IF(C3&lt;120000,0.735*C3^0.29,IF(C3&lt;200000,0.765*C3^0.2859,IF(C3&lt;280000,14.09+C3*0.0000549,2.816*C3^0.1872)))))))</f>
        <v>5.5074888973457687</v>
      </c>
      <c r="D8" s="771">
        <f>IF(D3&lt;10000,0.394*D3^0.347,IF(D3&lt;25000,0.417*D3^0.348,IF(D3&lt;55000,0.205*D3^0.4185,IF(D3&lt;80001,0.0323*D3^0.5763,IF(D3&lt;120000,0.735*D3^0.29,IF(D3&lt;200000,0.765*D3^0.2859,IF(D3&lt;280000,14.09+D3*0.0000549,2.816*D3^0.1872)))))))</f>
        <v>5.5074888973457687</v>
      </c>
      <c r="E8" s="449">
        <f>IF(E3&lt;10000,0.394*E3^0.347,IF(E3&lt;25000,0.417*E3^0.348,IF(E3&lt;55000,0.205*E3^0.4185,IF(E3&lt;80001,0.0323*E3^0.5763,IF(E3&lt;120000,0.735*E3^0.29,IF(E3&lt;200000,0.765*E3^0.2859,IF(E3&lt;280000,14.09+E3*0.0000549,2.816*E3^0.1872)))))))</f>
        <v>5.5074888973457687</v>
      </c>
      <c r="F8" s="491"/>
      <c r="G8" s="491"/>
      <c r="H8" s="491"/>
      <c r="I8" s="491"/>
      <c r="J8" s="491"/>
      <c r="K8" s="491"/>
      <c r="L8" s="491"/>
      <c r="M8" s="491"/>
      <c r="N8" s="491"/>
      <c r="O8" s="492"/>
      <c r="P8" s="492"/>
      <c r="Q8" s="492"/>
      <c r="R8" s="492"/>
      <c r="S8" s="492"/>
      <c r="T8" s="492"/>
      <c r="U8" s="492"/>
      <c r="V8" s="493"/>
      <c r="W8" s="493"/>
      <c r="X8" s="493"/>
      <c r="Y8" s="493"/>
      <c r="Z8" s="493"/>
      <c r="AA8" s="493"/>
      <c r="AB8" s="493"/>
      <c r="AC8" s="493"/>
      <c r="AD8" s="493"/>
      <c r="AE8" s="493"/>
      <c r="AF8" s="493"/>
      <c r="AG8" s="493"/>
      <c r="AH8" s="493"/>
      <c r="AI8" s="493"/>
      <c r="AJ8" s="493"/>
      <c r="AK8" s="493"/>
      <c r="AL8" s="493"/>
      <c r="AM8" s="493"/>
      <c r="AN8" s="493"/>
      <c r="AO8" s="493"/>
      <c r="AP8" s="493"/>
    </row>
    <row r="9" spans="1:42" s="430" customFormat="1" ht="15" customHeight="1" x14ac:dyDescent="0.25">
      <c r="A9" s="890" t="s">
        <v>408</v>
      </c>
      <c r="B9" s="907" t="s">
        <v>1</v>
      </c>
      <c r="C9" s="221">
        <f>(-1.9410630534E-11*C6^6+0.000000020997891107*C6^5-0.000007834914107*C6^4+0.0009977348748043*C6^3+0.01296630312*C6^2+5.625511*C6+48)/1000</f>
        <v>0.68415274944828786</v>
      </c>
      <c r="D9" s="768">
        <f>(-1.9410630534E-11*D6^6+0.000000020997891107*D6^5-0.000007834914107*D6^4+0.0009977348748043*D6^3+0.01296630312*D6^2+5.625511*D6+48)/1000</f>
        <v>0.68415274944828786</v>
      </c>
      <c r="E9" s="431">
        <f>(-1.9410630534E-11*E6^6+0.000000020997891107*E6^5-0.000007834914107*E6^4+0.0009977348748043*E6^3+0.01296630312*E6^2+5.625511*E6+48)/1000</f>
        <v>0.68415274944828786</v>
      </c>
      <c r="F9" s="491"/>
      <c r="G9" s="491"/>
      <c r="H9" s="491"/>
      <c r="I9" s="491"/>
      <c r="J9" s="491"/>
      <c r="K9" s="491"/>
      <c r="L9" s="491"/>
      <c r="M9" s="491"/>
      <c r="N9" s="491"/>
      <c r="O9" s="492"/>
      <c r="P9" s="492"/>
      <c r="Q9" s="492"/>
      <c r="R9" s="492"/>
      <c r="S9" s="492"/>
      <c r="T9" s="492"/>
      <c r="U9" s="492"/>
      <c r="V9" s="493"/>
      <c r="W9" s="493"/>
      <c r="X9" s="493"/>
      <c r="Y9" s="493"/>
      <c r="Z9" s="493"/>
      <c r="AA9" s="493"/>
      <c r="AB9" s="493"/>
      <c r="AC9" s="493"/>
      <c r="AD9" s="493"/>
      <c r="AE9" s="493"/>
      <c r="AF9" s="493"/>
      <c r="AG9" s="493"/>
      <c r="AH9" s="493"/>
      <c r="AI9" s="493"/>
      <c r="AJ9" s="493"/>
      <c r="AK9" s="493"/>
      <c r="AL9" s="493"/>
      <c r="AM9" s="493"/>
      <c r="AN9" s="493"/>
      <c r="AO9" s="493"/>
      <c r="AP9" s="493"/>
    </row>
    <row r="10" spans="1:42" s="430" customFormat="1" ht="15" customHeight="1" x14ac:dyDescent="0.25">
      <c r="A10" s="890" t="s">
        <v>407</v>
      </c>
      <c r="B10" s="907" t="s">
        <v>1</v>
      </c>
      <c r="C10" s="221">
        <f>C8-C12</f>
        <v>1.0175914859309856</v>
      </c>
      <c r="D10" s="768">
        <f>D8-D12</f>
        <v>1.0175914859309856</v>
      </c>
      <c r="E10" s="431">
        <f>E8-E12</f>
        <v>1.0175914859309856</v>
      </c>
      <c r="F10" s="491"/>
      <c r="G10" s="491"/>
      <c r="H10" s="491"/>
      <c r="I10" s="491"/>
      <c r="J10" s="491"/>
      <c r="K10" s="491"/>
      <c r="L10" s="491"/>
      <c r="M10" s="491"/>
      <c r="N10" s="491"/>
      <c r="O10" s="492"/>
      <c r="P10" s="492"/>
      <c r="Q10" s="492"/>
      <c r="R10" s="492"/>
      <c r="S10" s="492"/>
      <c r="T10" s="492"/>
      <c r="U10" s="492"/>
      <c r="V10" s="493"/>
      <c r="W10" s="493"/>
      <c r="X10" s="493"/>
      <c r="Y10" s="493"/>
      <c r="Z10" s="493"/>
      <c r="AA10" s="493"/>
      <c r="AB10" s="493"/>
      <c r="AC10" s="493"/>
      <c r="AD10" s="493"/>
      <c r="AE10" s="493"/>
      <c r="AF10" s="493"/>
      <c r="AG10" s="493"/>
      <c r="AH10" s="493"/>
      <c r="AI10" s="493"/>
      <c r="AJ10" s="493"/>
      <c r="AK10" s="493"/>
      <c r="AL10" s="493"/>
      <c r="AM10" s="493"/>
      <c r="AN10" s="493"/>
      <c r="AO10" s="493"/>
      <c r="AP10" s="493"/>
    </row>
    <row r="11" spans="1:42" s="430" customFormat="1" ht="15" customHeight="1" x14ac:dyDescent="0.25">
      <c r="A11" s="890" t="s">
        <v>268</v>
      </c>
      <c r="B11" s="907" t="s">
        <v>1</v>
      </c>
      <c r="C11" s="221">
        <f>C12-(C3-C15)/C5/C7/1.025/(C32-0.04*(1-C20/C21))</f>
        <v>4.2215265052210178</v>
      </c>
      <c r="D11" s="768">
        <f>D12-(D3-D15)/D5/D7/1.025/(D32-0.04*(1-D20/D21))</f>
        <v>4.2215265052210178</v>
      </c>
      <c r="E11" s="431">
        <f>E12-(E3-E15)/E5/E7/1.025/(E32-0.04*(1-E20/E21))</f>
        <v>4.2215265052210178</v>
      </c>
      <c r="F11" s="491"/>
      <c r="G11" s="491"/>
      <c r="H11" s="491"/>
      <c r="I11" s="491"/>
      <c r="J11" s="491"/>
      <c r="K11" s="491"/>
      <c r="L11" s="491"/>
      <c r="M11" s="491"/>
      <c r="N11" s="491"/>
      <c r="O11" s="492"/>
      <c r="P11" s="492"/>
      <c r="Q11" s="492"/>
      <c r="R11" s="492"/>
      <c r="S11" s="492"/>
      <c r="T11" s="492"/>
      <c r="U11" s="492"/>
      <c r="V11" s="493"/>
      <c r="W11" s="493"/>
      <c r="X11" s="493"/>
      <c r="Y11" s="493"/>
      <c r="Z11" s="493"/>
      <c r="AA11" s="493"/>
      <c r="AB11" s="493"/>
      <c r="AC11" s="493"/>
      <c r="AD11" s="493"/>
      <c r="AE11" s="493"/>
      <c r="AF11" s="493"/>
      <c r="AG11" s="493"/>
      <c r="AH11" s="493"/>
      <c r="AI11" s="493"/>
      <c r="AJ11" s="493"/>
      <c r="AK11" s="493"/>
      <c r="AL11" s="493"/>
      <c r="AM11" s="493"/>
      <c r="AN11" s="493"/>
      <c r="AO11" s="493"/>
      <c r="AP11" s="493"/>
    </row>
    <row r="12" spans="1:42" s="430" customFormat="1" ht="15" customHeight="1" x14ac:dyDescent="0.25">
      <c r="A12" s="890" t="s">
        <v>307</v>
      </c>
      <c r="B12" s="907" t="s">
        <v>1</v>
      </c>
      <c r="C12" s="221">
        <f>IF(C3&lt;10000,0.442*C3^0.305,IF(C3&lt;25000,0.517*C3^0.293,IF(C3&lt;55000,0.175*C3^0.396,IF(C3&lt;80001,0.0115*C3^0.635,IF(C3&lt;120000,0.174*C3^0.3828,IF(C3&lt;200000,0.0963*C3^0.4316,IF(C3&lt;280000,13.95+C3*0.0000237,0.0137*C3^0.5832)))))))</f>
        <v>4.4898974114147832</v>
      </c>
      <c r="D12" s="770">
        <f>IF(D3&lt;10000,0.442*D3^0.305,IF(D3&lt;25000,0.517*D3^0.293,IF(D3&lt;55000,0.175*D3^0.396,IF(D3&lt;80001,0.0115*D3^0.635,IF(D3&lt;120000,0.174*D3^0.3828,IF(D3&lt;200000,0.0963*D3^0.4316,IF(D3&lt;280000,13.95+D3*0.0000237,0.0137*D3^0.5832)))))))</f>
        <v>4.4898974114147832</v>
      </c>
      <c r="E12" s="448">
        <f>IF(E3&lt;10000,0.442*E3^0.305,IF(E3&lt;25000,0.517*E3^0.293,IF(E3&lt;55000,0.175*E3^0.396,IF(E3&lt;80001,0.0115*E3^0.635,IF(E3&lt;120000,0.174*E3^0.3828,IF(E3&lt;200000,0.0963*E3^0.4316,IF(E3&lt;280000,13.95+E3*0.0000237,0.0137*E3^0.5832)))))))</f>
        <v>4.4898974114147832</v>
      </c>
      <c r="F12" s="491"/>
      <c r="G12" s="491"/>
      <c r="H12" s="491"/>
      <c r="I12" s="491"/>
      <c r="J12" s="491"/>
      <c r="K12" s="491"/>
      <c r="L12" s="491"/>
      <c r="M12" s="491"/>
      <c r="N12" s="491"/>
      <c r="O12" s="492"/>
      <c r="P12" s="492"/>
      <c r="Q12" s="492"/>
      <c r="R12" s="492"/>
      <c r="S12" s="492"/>
      <c r="T12" s="492"/>
      <c r="U12" s="492"/>
      <c r="V12" s="493"/>
      <c r="W12" s="493"/>
      <c r="X12" s="493"/>
      <c r="Y12" s="493"/>
      <c r="Z12" s="493"/>
      <c r="AA12" s="493"/>
      <c r="AB12" s="493"/>
      <c r="AC12" s="493"/>
      <c r="AD12" s="493"/>
      <c r="AE12" s="493"/>
      <c r="AF12" s="493"/>
      <c r="AG12" s="493"/>
      <c r="AH12" s="493"/>
      <c r="AI12" s="493"/>
      <c r="AJ12" s="493"/>
      <c r="AK12" s="493"/>
      <c r="AL12" s="493"/>
      <c r="AM12" s="493"/>
      <c r="AN12" s="493"/>
      <c r="AO12" s="493"/>
      <c r="AP12" s="493"/>
    </row>
    <row r="13" spans="1:42" s="430" customFormat="1" ht="15" customHeight="1" x14ac:dyDescent="0.25">
      <c r="A13" s="890" t="s">
        <v>305</v>
      </c>
      <c r="B13" s="907" t="s">
        <v>7</v>
      </c>
      <c r="C13" s="855">
        <v>90</v>
      </c>
      <c r="D13" s="772">
        <f>C13</f>
        <v>90</v>
      </c>
      <c r="E13" s="457">
        <f>C13</f>
        <v>90</v>
      </c>
      <c r="F13" s="491"/>
      <c r="G13" s="491"/>
      <c r="H13" s="491"/>
      <c r="I13" s="491"/>
      <c r="J13" s="491"/>
      <c r="K13" s="491"/>
      <c r="L13" s="491"/>
      <c r="M13" s="491"/>
      <c r="N13" s="491"/>
      <c r="O13" s="492"/>
      <c r="P13" s="492"/>
      <c r="Q13" s="492"/>
      <c r="R13" s="492"/>
      <c r="S13" s="492"/>
      <c r="T13" s="451"/>
      <c r="U13" s="494"/>
      <c r="V13" s="495"/>
      <c r="W13" s="496"/>
      <c r="X13" s="497"/>
      <c r="Y13" s="498"/>
      <c r="Z13" s="498"/>
      <c r="AA13" s="498"/>
      <c r="AB13" s="498"/>
      <c r="AC13" s="498"/>
      <c r="AD13" s="493"/>
      <c r="AE13" s="493"/>
      <c r="AF13" s="493"/>
      <c r="AG13" s="493"/>
      <c r="AH13" s="493"/>
      <c r="AI13" s="493"/>
      <c r="AJ13" s="493"/>
      <c r="AK13" s="493"/>
      <c r="AL13" s="493"/>
      <c r="AM13" s="493"/>
      <c r="AN13" s="493"/>
      <c r="AO13" s="493"/>
      <c r="AP13" s="493"/>
    </row>
    <row r="14" spans="1:42" s="430" customFormat="1" ht="15" customHeight="1" x14ac:dyDescent="0.25">
      <c r="A14" s="890" t="s">
        <v>304</v>
      </c>
      <c r="B14" s="907" t="s">
        <v>1</v>
      </c>
      <c r="C14" s="221">
        <f>C12-C11</f>
        <v>0.26837090619376536</v>
      </c>
      <c r="D14" s="768">
        <f>D12-D11</f>
        <v>0.26837090619376536</v>
      </c>
      <c r="E14" s="431">
        <f>E12-E11</f>
        <v>0.26837090619376536</v>
      </c>
      <c r="F14" s="491"/>
      <c r="G14" s="491"/>
      <c r="H14" s="491"/>
      <c r="I14" s="491"/>
      <c r="J14" s="491"/>
      <c r="K14" s="491"/>
      <c r="L14" s="491"/>
      <c r="M14" s="491"/>
      <c r="N14" s="491"/>
      <c r="O14" s="492"/>
      <c r="P14" s="492"/>
      <c r="Q14" s="492"/>
      <c r="R14" s="492"/>
      <c r="S14" s="492"/>
      <c r="T14" s="451"/>
      <c r="U14" s="494"/>
      <c r="V14" s="495"/>
      <c r="W14" s="496"/>
      <c r="X14" s="497"/>
      <c r="AD14" s="493"/>
      <c r="AE14" s="493"/>
      <c r="AF14" s="493"/>
      <c r="AG14" s="493"/>
      <c r="AH14" s="493"/>
      <c r="AI14" s="493"/>
      <c r="AJ14" s="493"/>
      <c r="AK14" s="493"/>
      <c r="AL14" s="493"/>
      <c r="AM14" s="493"/>
      <c r="AN14" s="493"/>
      <c r="AO14" s="493"/>
      <c r="AP14" s="493"/>
    </row>
    <row r="15" spans="1:42" s="430" customFormat="1" ht="15" customHeight="1" x14ac:dyDescent="0.25">
      <c r="A15" s="890" t="s">
        <v>269</v>
      </c>
      <c r="B15" s="907" t="s">
        <v>2</v>
      </c>
      <c r="C15" s="224">
        <f>C13/100*C3</f>
        <v>1800</v>
      </c>
      <c r="D15" s="773">
        <f>D13/100*D3</f>
        <v>1800</v>
      </c>
      <c r="E15" s="225">
        <f>E13/100*E3</f>
        <v>1800</v>
      </c>
      <c r="F15" s="499"/>
      <c r="G15" s="500"/>
      <c r="H15" s="500"/>
      <c r="I15" s="500"/>
      <c r="J15" s="501"/>
      <c r="K15" s="502"/>
      <c r="L15" s="502"/>
      <c r="M15" s="502"/>
      <c r="N15" s="502"/>
      <c r="O15" s="503"/>
      <c r="P15" s="503"/>
      <c r="Q15" s="503"/>
      <c r="R15" s="503"/>
      <c r="S15" s="503"/>
      <c r="T15" s="451"/>
      <c r="U15" s="494"/>
      <c r="V15" s="495"/>
      <c r="W15" s="496"/>
      <c r="X15" s="497"/>
      <c r="AD15" s="504"/>
      <c r="AE15" s="504"/>
      <c r="AF15" s="504"/>
      <c r="AG15" s="504"/>
      <c r="AH15" s="504"/>
      <c r="AI15" s="504"/>
      <c r="AJ15" s="504"/>
      <c r="AK15" s="504"/>
      <c r="AL15" s="504"/>
      <c r="AM15" s="504"/>
      <c r="AN15" s="504"/>
      <c r="AO15" s="504"/>
      <c r="AP15" s="504"/>
    </row>
    <row r="16" spans="1:42" s="430" customFormat="1" ht="15" customHeight="1" x14ac:dyDescent="0.25">
      <c r="A16" s="890" t="s">
        <v>416</v>
      </c>
      <c r="B16" s="907" t="s">
        <v>162</v>
      </c>
      <c r="C16" s="856">
        <f>IF(C3&lt;10000,1.284*C3^-0.229,IF(C3&lt;25000,1.948*C3^-0.271,IF(C3&lt;55000,14.19*C3^-0.463,IF(C3&lt;80001,0.0306*C3^0.1035,IF(C3&lt;120000,0.59*C3^-0.168,IF(C3&lt;200000,0.083,IF(C3&lt;280000,0.111-C3*0.000000139,0.034+0.000000134*C3)))))))</f>
        <v>0.22523151325821852</v>
      </c>
      <c r="D16" s="774">
        <f>IF(D3&lt;10000,1.284*D3^-0.229,IF(D3&lt;25000,1.948*D3^-0.271,IF(D3&lt;55000,14.19*D3^-0.463,IF(D3&lt;80001,0.0306*D3^0.1035,IF(D3&lt;120000,0.59*D3^-0.168,IF(D3&lt;200000,0.083,IF(D3&lt;280000,0.111-D3*0.000000139,0.034+0.000000134*D3)))))))</f>
        <v>0.22523151325821852</v>
      </c>
      <c r="E16" s="433">
        <f>IF(E3&lt;10000,1.284*E3^-0.229,IF(E3&lt;25000,1.948*E3^-0.271,IF(E3&lt;55000,14.19*E3^-0.463,IF(E3&lt;80001,0.0306*E3^0.1035,IF(E3&lt;120000,0.59*E3^-0.168,IF(E3&lt;200000,0.083,IF(E3&lt;280000,0.111-E3*0.000000139,0.034+0.000000134*E3)))))))</f>
        <v>0.22523151325821852</v>
      </c>
      <c r="F16" s="501"/>
      <c r="G16" s="505"/>
      <c r="H16" s="505"/>
      <c r="I16" s="505"/>
      <c r="J16" s="501"/>
      <c r="K16" s="502"/>
      <c r="L16" s="506"/>
      <c r="M16" s="502"/>
      <c r="N16" s="502"/>
      <c r="O16" s="503"/>
      <c r="P16" s="507"/>
      <c r="Q16" s="507"/>
      <c r="R16" s="507"/>
      <c r="S16" s="503"/>
      <c r="T16" s="451"/>
      <c r="U16" s="494"/>
      <c r="V16" s="496"/>
      <c r="W16" s="490"/>
      <c r="X16" s="497"/>
      <c r="AD16" s="498"/>
      <c r="AE16" s="498"/>
      <c r="AF16" s="498"/>
      <c r="AG16" s="498"/>
      <c r="AH16" s="498"/>
      <c r="AI16" s="498"/>
      <c r="AJ16" s="498"/>
      <c r="AK16" s="498"/>
      <c r="AL16" s="498"/>
      <c r="AM16" s="498"/>
      <c r="AN16" s="498"/>
      <c r="AO16" s="498"/>
      <c r="AP16" s="498"/>
    </row>
    <row r="17" spans="1:42" s="430" customFormat="1" ht="15" customHeight="1" x14ac:dyDescent="0.25">
      <c r="A17" s="890" t="s">
        <v>417</v>
      </c>
      <c r="B17" s="907" t="s">
        <v>2</v>
      </c>
      <c r="C17" s="224">
        <f>C5*C7*C8*C16</f>
        <v>1020.9727921305373</v>
      </c>
      <c r="D17" s="773">
        <f>D5*D7*D8*D16</f>
        <v>1020.9727921305373</v>
      </c>
      <c r="E17" s="225">
        <f>E5*E7*E8*E16</f>
        <v>1020.9727921305373</v>
      </c>
      <c r="F17" s="502"/>
      <c r="G17" s="500"/>
      <c r="H17" s="500"/>
      <c r="I17" s="500"/>
      <c r="J17" s="508"/>
      <c r="K17" s="501"/>
      <c r="L17" s="501"/>
      <c r="M17" s="501"/>
      <c r="N17" s="501"/>
      <c r="O17" s="509"/>
      <c r="P17" s="509"/>
      <c r="Q17" s="509"/>
      <c r="R17" s="509"/>
      <c r="S17" s="509"/>
      <c r="T17" s="510"/>
      <c r="U17" s="511"/>
      <c r="W17" s="490"/>
      <c r="X17" s="497"/>
      <c r="AD17" s="504"/>
      <c r="AE17" s="504"/>
      <c r="AF17" s="504"/>
      <c r="AG17" s="504"/>
      <c r="AH17" s="504"/>
      <c r="AI17" s="504"/>
      <c r="AJ17" s="504"/>
      <c r="AK17" s="504"/>
      <c r="AL17" s="504"/>
      <c r="AM17" s="504"/>
      <c r="AN17" s="504"/>
      <c r="AO17" s="504"/>
      <c r="AP17" s="504"/>
    </row>
    <row r="18" spans="1:42" s="430" customFormat="1" ht="15" customHeight="1" x14ac:dyDescent="0.25">
      <c r="A18" s="890" t="s">
        <v>302</v>
      </c>
      <c r="B18" s="907" t="s">
        <v>158</v>
      </c>
      <c r="C18" s="224">
        <v>0</v>
      </c>
      <c r="D18" s="775">
        <v>0</v>
      </c>
      <c r="E18" s="447">
        <v>0</v>
      </c>
      <c r="F18" s="502"/>
      <c r="G18" s="500"/>
      <c r="H18" s="500"/>
      <c r="I18" s="500"/>
      <c r="J18" s="508"/>
      <c r="K18" s="501"/>
      <c r="L18" s="501"/>
      <c r="M18" s="501"/>
      <c r="N18" s="501"/>
      <c r="O18" s="509"/>
      <c r="P18" s="509"/>
      <c r="Q18" s="509"/>
      <c r="R18" s="509"/>
      <c r="S18" s="509"/>
      <c r="T18" s="510"/>
      <c r="U18" s="511"/>
      <c r="W18" s="490"/>
      <c r="X18" s="497"/>
      <c r="AD18" s="504"/>
      <c r="AE18" s="504"/>
      <c r="AF18" s="504"/>
      <c r="AG18" s="504"/>
      <c r="AH18" s="504"/>
      <c r="AI18" s="504"/>
      <c r="AJ18" s="504"/>
      <c r="AK18" s="504"/>
      <c r="AL18" s="504"/>
      <c r="AM18" s="504"/>
      <c r="AN18" s="504"/>
      <c r="AO18" s="504"/>
      <c r="AP18" s="504"/>
    </row>
    <row r="19" spans="1:42" s="430" customFormat="1" ht="15" customHeight="1" x14ac:dyDescent="0.25">
      <c r="A19" s="890" t="s">
        <v>326</v>
      </c>
      <c r="B19" s="907" t="s">
        <v>2</v>
      </c>
      <c r="C19" s="224">
        <f>C17*(1+C18/100)</f>
        <v>1020.9727921305373</v>
      </c>
      <c r="D19" s="773">
        <f>D17*(1+D18/100)</f>
        <v>1020.9727921305373</v>
      </c>
      <c r="E19" s="225">
        <f>E17*(1+E18/100)</f>
        <v>1020.9727921305373</v>
      </c>
      <c r="F19" s="502"/>
      <c r="G19" s="500"/>
      <c r="H19" s="500"/>
      <c r="I19" s="500"/>
      <c r="J19" s="508"/>
      <c r="K19" s="501"/>
      <c r="L19" s="501"/>
      <c r="M19" s="501"/>
      <c r="N19" s="501"/>
      <c r="O19" s="509"/>
      <c r="P19" s="509"/>
      <c r="Q19" s="509"/>
      <c r="R19" s="509"/>
      <c r="S19" s="509"/>
      <c r="T19" s="510"/>
      <c r="U19" s="511"/>
      <c r="W19" s="490"/>
      <c r="X19" s="497"/>
      <c r="AD19" s="504"/>
      <c r="AE19" s="504"/>
      <c r="AF19" s="504"/>
      <c r="AG19" s="504"/>
      <c r="AH19" s="504"/>
      <c r="AI19" s="504"/>
      <c r="AJ19" s="504"/>
      <c r="AK19" s="504"/>
      <c r="AL19" s="504"/>
      <c r="AM19" s="504"/>
      <c r="AN19" s="504"/>
      <c r="AO19" s="504"/>
      <c r="AP19" s="504"/>
    </row>
    <row r="20" spans="1:42" s="430" customFormat="1" ht="15" customHeight="1" x14ac:dyDescent="0.25">
      <c r="A20" s="890" t="s">
        <v>270</v>
      </c>
      <c r="B20" s="907" t="s">
        <v>2</v>
      </c>
      <c r="C20" s="224">
        <f>C17*(1+C18/100)+C15</f>
        <v>2820.9727921305375</v>
      </c>
      <c r="D20" s="773">
        <f>D17*(1+D18/100)+D15</f>
        <v>2820.9727921305375</v>
      </c>
      <c r="E20" s="225">
        <f>E17*(1+E18/100)+E15</f>
        <v>2820.9727921305375</v>
      </c>
      <c r="F20" s="502"/>
      <c r="G20" s="500"/>
      <c r="H20" s="500"/>
      <c r="I20" s="500"/>
      <c r="J20" s="508"/>
      <c r="K20" s="501"/>
      <c r="L20" s="501"/>
      <c r="M20" s="501"/>
      <c r="N20" s="501"/>
      <c r="O20" s="509"/>
      <c r="P20" s="509"/>
      <c r="Q20" s="509"/>
      <c r="R20" s="509"/>
      <c r="S20" s="509"/>
      <c r="T20" s="510"/>
      <c r="U20" s="511"/>
      <c r="W20" s="490"/>
      <c r="X20" s="497"/>
      <c r="AD20" s="504"/>
      <c r="AE20" s="504"/>
      <c r="AF20" s="504"/>
      <c r="AG20" s="504"/>
      <c r="AH20" s="504"/>
      <c r="AI20" s="504"/>
      <c r="AJ20" s="504"/>
      <c r="AK20" s="504"/>
      <c r="AL20" s="504"/>
      <c r="AM20" s="504"/>
      <c r="AN20" s="504"/>
      <c r="AO20" s="504"/>
      <c r="AP20" s="504"/>
    </row>
    <row r="21" spans="1:42" s="430" customFormat="1" ht="15" customHeight="1" x14ac:dyDescent="0.25">
      <c r="A21" s="890" t="s">
        <v>303</v>
      </c>
      <c r="B21" s="907" t="s">
        <v>2</v>
      </c>
      <c r="C21" s="224">
        <f>C3+C17*(1+C18/100)</f>
        <v>3020.9727921305375</v>
      </c>
      <c r="D21" s="773">
        <f>D3+D17*(1+D18/100)</f>
        <v>3020.9727921305375</v>
      </c>
      <c r="E21" s="225">
        <f>E3+E17*(1+E18/100)</f>
        <v>3020.9727921305375</v>
      </c>
      <c r="F21" s="502"/>
      <c r="G21" s="500"/>
      <c r="H21" s="500"/>
      <c r="I21" s="500"/>
      <c r="J21" s="508"/>
      <c r="K21" s="501"/>
      <c r="L21" s="501"/>
      <c r="M21" s="501"/>
      <c r="N21" s="501"/>
      <c r="O21" s="509"/>
      <c r="P21" s="509"/>
      <c r="Q21" s="509"/>
      <c r="R21" s="509"/>
      <c r="S21" s="509"/>
      <c r="T21" s="510"/>
      <c r="U21" s="511"/>
      <c r="W21" s="490"/>
      <c r="X21" s="497"/>
      <c r="AD21" s="504"/>
      <c r="AE21" s="504"/>
      <c r="AF21" s="504"/>
      <c r="AG21" s="504"/>
      <c r="AH21" s="504"/>
      <c r="AI21" s="504"/>
      <c r="AJ21" s="504"/>
      <c r="AK21" s="504"/>
      <c r="AL21" s="504"/>
      <c r="AM21" s="504"/>
      <c r="AN21" s="504"/>
      <c r="AO21" s="504"/>
      <c r="AP21" s="504"/>
    </row>
    <row r="22" spans="1:42" s="430" customFormat="1" ht="15" customHeight="1" x14ac:dyDescent="0.25">
      <c r="A22" s="890" t="s">
        <v>308</v>
      </c>
      <c r="B22" s="907" t="s">
        <v>7</v>
      </c>
      <c r="C22" s="456">
        <f>C15/C20*100</f>
        <v>63.807775992073687</v>
      </c>
      <c r="D22" s="776">
        <f>D15/D20*100</f>
        <v>63.807775992073687</v>
      </c>
      <c r="E22" s="418">
        <f>E15/E20*100</f>
        <v>63.807775992073687</v>
      </c>
      <c r="F22" s="502"/>
      <c r="G22" s="500"/>
      <c r="H22" s="500"/>
      <c r="I22" s="500"/>
      <c r="J22" s="508"/>
      <c r="K22" s="505"/>
      <c r="L22" s="505"/>
      <c r="M22" s="505"/>
      <c r="N22" s="505"/>
      <c r="O22" s="512"/>
      <c r="P22" s="424"/>
      <c r="Q22" s="512"/>
      <c r="R22" s="512"/>
      <c r="S22" s="512"/>
      <c r="T22" s="510"/>
      <c r="U22" s="511"/>
      <c r="W22" s="490"/>
      <c r="X22" s="497"/>
      <c r="AD22" s="497"/>
      <c r="AE22" s="497"/>
      <c r="AF22" s="497"/>
      <c r="AG22" s="497"/>
      <c r="AH22" s="497"/>
      <c r="AI22" s="497"/>
      <c r="AJ22" s="497"/>
      <c r="AK22" s="497"/>
      <c r="AL22" s="497"/>
      <c r="AM22" s="497"/>
      <c r="AN22" s="497"/>
      <c r="AO22" s="497"/>
      <c r="AP22" s="497"/>
    </row>
    <row r="23" spans="1:42" s="430" customFormat="1" ht="15" customHeight="1" x14ac:dyDescent="0.25">
      <c r="A23" s="890" t="s">
        <v>309</v>
      </c>
      <c r="B23" s="907" t="s">
        <v>7</v>
      </c>
      <c r="C23" s="456">
        <f>C3/C21*100</f>
        <v>66.203840207031533</v>
      </c>
      <c r="D23" s="776">
        <f>D3/D21*100</f>
        <v>66.203840207031533</v>
      </c>
      <c r="E23" s="418">
        <f>E3/E21*100</f>
        <v>66.203840207031533</v>
      </c>
      <c r="F23" s="502"/>
      <c r="G23" s="500"/>
      <c r="H23" s="500"/>
      <c r="I23" s="500"/>
      <c r="J23" s="508"/>
      <c r="K23" s="505"/>
      <c r="L23" s="505"/>
      <c r="M23" s="505"/>
      <c r="N23" s="505"/>
      <c r="O23" s="512"/>
      <c r="P23" s="424"/>
      <c r="Q23" s="512"/>
      <c r="R23" s="512"/>
      <c r="S23" s="512"/>
      <c r="T23" s="510"/>
      <c r="U23" s="511"/>
      <c r="W23" s="490"/>
      <c r="X23" s="497"/>
      <c r="AD23" s="497"/>
      <c r="AE23" s="497"/>
      <c r="AF23" s="497"/>
      <c r="AG23" s="497"/>
      <c r="AH23" s="497"/>
      <c r="AI23" s="497"/>
      <c r="AJ23" s="497"/>
      <c r="AK23" s="497"/>
      <c r="AL23" s="497"/>
      <c r="AM23" s="497"/>
      <c r="AN23" s="497"/>
      <c r="AO23" s="497"/>
      <c r="AP23" s="497"/>
    </row>
    <row r="24" spans="1:42" s="430" customFormat="1" ht="15" customHeight="1" x14ac:dyDescent="0.25">
      <c r="A24" s="890" t="s">
        <v>271</v>
      </c>
      <c r="B24" s="907" t="s">
        <v>3</v>
      </c>
      <c r="C24" s="856">
        <f>C20/C5/C7/C11/1.025</f>
        <v>0.7920892660392681</v>
      </c>
      <c r="D24" s="774">
        <f>D20/D5/D7/D11/1.025</f>
        <v>0.7920892660392681</v>
      </c>
      <c r="E24" s="433">
        <f>E20/E5/E7/E11/1.025</f>
        <v>0.7920892660392681</v>
      </c>
      <c r="F24" s="502"/>
      <c r="G24" s="500"/>
      <c r="H24" s="500"/>
      <c r="I24" s="500"/>
      <c r="J24" s="508"/>
      <c r="K24" s="513"/>
      <c r="L24" s="513"/>
      <c r="M24" s="514"/>
      <c r="N24" s="515"/>
      <c r="O24" s="516"/>
      <c r="P24" s="424"/>
      <c r="Q24" s="512"/>
      <c r="R24" s="516"/>
      <c r="S24" s="516"/>
      <c r="T24" s="510"/>
      <c r="U24" s="511"/>
      <c r="W24" s="490"/>
      <c r="X24" s="497"/>
      <c r="AD24" s="498"/>
      <c r="AE24" s="498"/>
      <c r="AF24" s="498"/>
      <c r="AG24" s="498"/>
      <c r="AH24" s="498"/>
      <c r="AI24" s="498"/>
      <c r="AJ24" s="498"/>
      <c r="AK24" s="498"/>
      <c r="AL24" s="498"/>
      <c r="AM24" s="498"/>
      <c r="AN24" s="498"/>
      <c r="AO24" s="498"/>
      <c r="AP24" s="498"/>
    </row>
    <row r="25" spans="1:42" s="430" customFormat="1" ht="15" customHeight="1" x14ac:dyDescent="0.25">
      <c r="A25" s="890" t="s">
        <v>310</v>
      </c>
      <c r="B25" s="907" t="s">
        <v>3</v>
      </c>
      <c r="C25" s="856">
        <f>C21/1.025/C5/C7/C12</f>
        <v>0.79754490835612457</v>
      </c>
      <c r="D25" s="774">
        <f>D21/1.025/D5/D7/D12</f>
        <v>0.79754490835612457</v>
      </c>
      <c r="E25" s="433">
        <f>E21/1.025/E5/E7/E12</f>
        <v>0.79754490835612457</v>
      </c>
      <c r="F25" s="502"/>
      <c r="G25" s="500"/>
      <c r="H25" s="500"/>
      <c r="I25" s="500"/>
      <c r="J25" s="485"/>
      <c r="K25" s="513"/>
      <c r="L25" s="513"/>
      <c r="M25" s="517"/>
      <c r="N25" s="517"/>
      <c r="O25" s="516"/>
      <c r="P25" s="424"/>
      <c r="Q25" s="512"/>
      <c r="R25" s="516"/>
      <c r="S25" s="516"/>
      <c r="T25" s="510"/>
      <c r="U25" s="511"/>
      <c r="W25" s="490"/>
      <c r="X25" s="497"/>
      <c r="AD25" s="498"/>
      <c r="AE25" s="498"/>
      <c r="AF25" s="498"/>
      <c r="AG25" s="498"/>
      <c r="AH25" s="498"/>
      <c r="AI25" s="498"/>
      <c r="AJ25" s="498"/>
      <c r="AK25" s="498"/>
      <c r="AL25" s="498"/>
      <c r="AM25" s="498"/>
      <c r="AN25" s="498"/>
      <c r="AO25" s="498"/>
      <c r="AP25" s="498"/>
    </row>
    <row r="26" spans="1:42" s="430" customFormat="1" ht="15" customHeight="1" x14ac:dyDescent="0.25">
      <c r="A26" s="890" t="s">
        <v>272</v>
      </c>
      <c r="B26" s="907" t="s">
        <v>3</v>
      </c>
      <c r="C26" s="221">
        <f>C5/(C20/1.025)^(1/3)</f>
        <v>4.8546530492050568</v>
      </c>
      <c r="D26" s="768">
        <f>D5/(D20/1.025)^(1/3)</f>
        <v>4.8546530492050568</v>
      </c>
      <c r="E26" s="431">
        <f>E5/(E20/1.025)^(1/3)</f>
        <v>4.8546530492050568</v>
      </c>
      <c r="F26" s="502"/>
      <c r="G26" s="500"/>
      <c r="H26" s="500"/>
      <c r="I26" s="500"/>
      <c r="J26" s="508"/>
      <c r="K26" s="491"/>
      <c r="L26" s="491"/>
      <c r="M26" s="518"/>
      <c r="N26" s="519"/>
      <c r="O26" s="492"/>
      <c r="P26" s="424"/>
      <c r="Q26" s="512"/>
      <c r="R26" s="492"/>
      <c r="S26" s="492"/>
      <c r="T26" s="510"/>
      <c r="U26" s="511"/>
      <c r="W26" s="490"/>
      <c r="X26" s="497"/>
      <c r="AD26" s="493"/>
      <c r="AE26" s="493"/>
      <c r="AF26" s="493"/>
      <c r="AG26" s="493"/>
      <c r="AH26" s="493"/>
      <c r="AI26" s="493"/>
      <c r="AJ26" s="493"/>
      <c r="AK26" s="493"/>
      <c r="AL26" s="493"/>
      <c r="AM26" s="493"/>
      <c r="AN26" s="493"/>
      <c r="AO26" s="493"/>
      <c r="AP26" s="493"/>
    </row>
    <row r="27" spans="1:42" s="430" customFormat="1" ht="15" customHeight="1" x14ac:dyDescent="0.25">
      <c r="A27" s="890" t="s">
        <v>311</v>
      </c>
      <c r="B27" s="907" t="s">
        <v>3</v>
      </c>
      <c r="C27" s="221">
        <f>C5/(C21/1.025)^(1/3)</f>
        <v>4.7450656471456218</v>
      </c>
      <c r="D27" s="768">
        <f>D5/(D21/1.025)^(1/3)</f>
        <v>4.7450656471456218</v>
      </c>
      <c r="E27" s="431">
        <f>E5/(E21/1.025)^(1/3)</f>
        <v>4.7450656471456218</v>
      </c>
      <c r="F27" s="502"/>
      <c r="G27" s="500"/>
      <c r="H27" s="500"/>
      <c r="I27" s="500"/>
      <c r="J27" s="508"/>
      <c r="K27" s="491"/>
      <c r="L27" s="491"/>
      <c r="M27" s="518"/>
      <c r="N27" s="519"/>
      <c r="O27" s="492"/>
      <c r="P27" s="424"/>
      <c r="Q27" s="512"/>
      <c r="R27" s="492"/>
      <c r="S27" s="492"/>
      <c r="T27" s="510"/>
      <c r="U27" s="511"/>
      <c r="W27" s="490"/>
      <c r="X27" s="497"/>
      <c r="AD27" s="493"/>
      <c r="AE27" s="493"/>
      <c r="AF27" s="493"/>
      <c r="AG27" s="493"/>
      <c r="AH27" s="493"/>
      <c r="AI27" s="493"/>
      <c r="AJ27" s="493"/>
      <c r="AK27" s="493"/>
      <c r="AL27" s="493"/>
      <c r="AM27" s="493"/>
      <c r="AN27" s="493"/>
      <c r="AO27" s="493"/>
      <c r="AP27" s="493"/>
    </row>
    <row r="28" spans="1:42" s="430" customFormat="1" ht="15" customHeight="1" x14ac:dyDescent="0.25">
      <c r="A28" s="890" t="s">
        <v>429</v>
      </c>
      <c r="B28" s="907" t="s">
        <v>3</v>
      </c>
      <c r="C28" s="857">
        <f>1-C12/C11*(1-C29)</f>
        <v>0.9946821399725172</v>
      </c>
      <c r="D28" s="777">
        <f>1-D12/D11*(1-D29)</f>
        <v>0.9946821399725172</v>
      </c>
      <c r="E28" s="452">
        <f>1-E12/E11*(1-E29)</f>
        <v>0.9946821399725172</v>
      </c>
      <c r="F28" s="502"/>
      <c r="G28" s="500"/>
      <c r="H28" s="500"/>
      <c r="I28" s="500"/>
      <c r="J28" s="508"/>
      <c r="K28" s="491"/>
      <c r="L28" s="491"/>
      <c r="M28" s="518"/>
      <c r="N28" s="519"/>
      <c r="O28" s="492"/>
      <c r="P28" s="424"/>
      <c r="Q28" s="512"/>
      <c r="R28" s="492"/>
      <c r="S28" s="492"/>
      <c r="T28" s="510"/>
      <c r="U28" s="511"/>
      <c r="W28" s="490"/>
      <c r="X28" s="497"/>
      <c r="AD28" s="493"/>
      <c r="AE28" s="493"/>
      <c r="AF28" s="493"/>
      <c r="AG28" s="493"/>
      <c r="AH28" s="493"/>
      <c r="AI28" s="493"/>
      <c r="AJ28" s="493"/>
      <c r="AK28" s="493"/>
      <c r="AL28" s="493"/>
      <c r="AM28" s="493"/>
      <c r="AN28" s="493"/>
      <c r="AO28" s="493"/>
      <c r="AP28" s="493"/>
    </row>
    <row r="29" spans="1:42" s="430" customFormat="1" ht="15" customHeight="1" x14ac:dyDescent="0.25">
      <c r="A29" s="890" t="s">
        <v>428</v>
      </c>
      <c r="B29" s="907" t="s">
        <v>3</v>
      </c>
      <c r="C29" s="228">
        <v>0.995</v>
      </c>
      <c r="D29" s="767">
        <v>0.995</v>
      </c>
      <c r="E29" s="450">
        <v>0.995</v>
      </c>
      <c r="F29" s="502"/>
      <c r="G29" s="500"/>
      <c r="H29" s="500"/>
      <c r="I29" s="500"/>
      <c r="J29" s="508"/>
      <c r="K29" s="489"/>
      <c r="L29" s="489"/>
      <c r="M29" s="518"/>
      <c r="N29" s="519"/>
      <c r="O29" s="424"/>
      <c r="P29" s="424"/>
      <c r="Q29" s="512"/>
      <c r="R29" s="424"/>
      <c r="S29" s="424"/>
      <c r="T29" s="510"/>
      <c r="U29" s="511"/>
      <c r="W29" s="490"/>
      <c r="X29" s="497"/>
      <c r="AD29" s="490"/>
      <c r="AE29" s="490"/>
      <c r="AF29" s="490"/>
      <c r="AG29" s="490"/>
      <c r="AH29" s="490"/>
      <c r="AI29" s="490"/>
      <c r="AJ29" s="490"/>
      <c r="AK29" s="490"/>
      <c r="AL29" s="490"/>
      <c r="AM29" s="490"/>
      <c r="AN29" s="490"/>
      <c r="AO29" s="490"/>
      <c r="AP29" s="490"/>
    </row>
    <row r="30" spans="1:42" s="430" customFormat="1" ht="15" customHeight="1" x14ac:dyDescent="0.25">
      <c r="A30" s="890" t="s">
        <v>273</v>
      </c>
      <c r="B30" s="907" t="s">
        <v>3</v>
      </c>
      <c r="C30" s="856">
        <f t="shared" ref="C30:E31" si="0">C24/C28</f>
        <v>0.79632400563777417</v>
      </c>
      <c r="D30" s="774">
        <f t="shared" si="0"/>
        <v>0.79632400563777417</v>
      </c>
      <c r="E30" s="433">
        <f t="shared" si="0"/>
        <v>0.79632400563777417</v>
      </c>
      <c r="F30" s="502"/>
      <c r="G30" s="500"/>
      <c r="H30" s="500"/>
      <c r="I30" s="500"/>
      <c r="J30" s="508"/>
      <c r="K30" s="513"/>
      <c r="L30" s="513"/>
      <c r="M30" s="518"/>
      <c r="N30" s="519"/>
      <c r="O30" s="516"/>
      <c r="P30" s="424"/>
      <c r="Q30" s="512"/>
      <c r="R30" s="516"/>
      <c r="S30" s="516"/>
      <c r="T30" s="510"/>
      <c r="U30" s="511"/>
      <c r="W30" s="490"/>
      <c r="X30" s="497"/>
      <c r="AD30" s="498"/>
      <c r="AE30" s="498"/>
      <c r="AF30" s="498"/>
      <c r="AG30" s="498"/>
      <c r="AH30" s="498"/>
      <c r="AI30" s="498"/>
      <c r="AJ30" s="498"/>
      <c r="AK30" s="498"/>
      <c r="AL30" s="498"/>
      <c r="AM30" s="498"/>
      <c r="AN30" s="498"/>
      <c r="AO30" s="498"/>
      <c r="AP30" s="498"/>
    </row>
    <row r="31" spans="1:42" s="430" customFormat="1" ht="15" customHeight="1" x14ac:dyDescent="0.25">
      <c r="A31" s="890" t="s">
        <v>312</v>
      </c>
      <c r="B31" s="907" t="s">
        <v>3</v>
      </c>
      <c r="C31" s="856">
        <f t="shared" si="0"/>
        <v>0.80155267171469802</v>
      </c>
      <c r="D31" s="774">
        <f t="shared" si="0"/>
        <v>0.80155267171469802</v>
      </c>
      <c r="E31" s="433">
        <f t="shared" si="0"/>
        <v>0.80155267171469802</v>
      </c>
      <c r="F31" s="485"/>
      <c r="G31" s="500"/>
      <c r="H31" s="500"/>
      <c r="I31" s="500"/>
      <c r="J31" s="485"/>
      <c r="K31" s="513"/>
      <c r="L31" s="513"/>
      <c r="M31" s="518"/>
      <c r="N31" s="519"/>
      <c r="O31" s="516"/>
      <c r="P31" s="424"/>
      <c r="Q31" s="512"/>
      <c r="R31" s="516"/>
      <c r="S31" s="516"/>
      <c r="T31" s="510"/>
      <c r="U31" s="511"/>
      <c r="W31" s="490"/>
      <c r="X31" s="497"/>
      <c r="AD31" s="498"/>
      <c r="AE31" s="498"/>
      <c r="AF31" s="498"/>
      <c r="AG31" s="498"/>
      <c r="AH31" s="498"/>
      <c r="AI31" s="498"/>
      <c r="AJ31" s="498"/>
      <c r="AK31" s="498"/>
      <c r="AL31" s="498"/>
      <c r="AM31" s="498"/>
      <c r="AN31" s="498"/>
      <c r="AO31" s="498"/>
      <c r="AP31" s="498"/>
    </row>
    <row r="32" spans="1:42" s="430" customFormat="1" ht="15" customHeight="1" x14ac:dyDescent="0.25">
      <c r="A32" s="890" t="s">
        <v>313</v>
      </c>
      <c r="B32" s="907" t="s">
        <v>3</v>
      </c>
      <c r="C32" s="856">
        <f>(0.81*C25+0.24)</f>
        <v>0.8860113757684609</v>
      </c>
      <c r="D32" s="774">
        <f>(0.81*D25+0.24)</f>
        <v>0.8860113757684609</v>
      </c>
      <c r="E32" s="433">
        <f>(0.81*E25+0.24)</f>
        <v>0.8860113757684609</v>
      </c>
      <c r="F32" s="502"/>
      <c r="G32" s="500"/>
      <c r="H32" s="500"/>
      <c r="I32" s="500"/>
      <c r="J32" s="508"/>
      <c r="K32" s="513"/>
      <c r="L32" s="513"/>
      <c r="M32" s="518"/>
      <c r="N32" s="519"/>
      <c r="O32" s="516"/>
      <c r="P32" s="424"/>
      <c r="Q32" s="512"/>
      <c r="R32" s="516"/>
      <c r="S32" s="516"/>
      <c r="T32" s="516"/>
      <c r="U32" s="516"/>
      <c r="V32" s="498"/>
      <c r="W32" s="498"/>
      <c r="X32" s="498"/>
      <c r="Y32" s="498"/>
      <c r="Z32" s="498"/>
      <c r="AA32" s="498"/>
      <c r="AB32" s="498"/>
      <c r="AC32" s="498"/>
      <c r="AD32" s="498"/>
      <c r="AE32" s="498"/>
      <c r="AF32" s="498"/>
      <c r="AG32" s="498"/>
      <c r="AH32" s="498"/>
      <c r="AI32" s="498"/>
      <c r="AJ32" s="498"/>
      <c r="AK32" s="498"/>
      <c r="AL32" s="498"/>
      <c r="AM32" s="498"/>
      <c r="AN32" s="498"/>
      <c r="AO32" s="498"/>
      <c r="AP32" s="498"/>
    </row>
    <row r="33" spans="1:42" s="430" customFormat="1" ht="15" customHeight="1" x14ac:dyDescent="0.25">
      <c r="A33" s="891" t="s">
        <v>298</v>
      </c>
      <c r="B33" s="908" t="s">
        <v>297</v>
      </c>
      <c r="C33" s="224">
        <f>C34-2*(C6+C7)*(C12-C11)</f>
        <v>1192.1829274703587</v>
      </c>
      <c r="D33" s="773">
        <f>D34-2*(D6+D7)*(D12-D11)</f>
        <v>1192.1829274703587</v>
      </c>
      <c r="E33" s="225">
        <f>E34-2*(E6+E7)*(E12-E11)</f>
        <v>1192.1829274703587</v>
      </c>
      <c r="F33" s="502"/>
      <c r="G33" s="500"/>
      <c r="H33" s="500"/>
      <c r="I33" s="500"/>
      <c r="J33" s="508"/>
      <c r="K33" s="513"/>
      <c r="L33" s="513"/>
      <c r="M33" s="518"/>
      <c r="N33" s="519"/>
      <c r="O33" s="516"/>
      <c r="P33" s="424"/>
      <c r="Q33" s="512"/>
      <c r="R33" s="516"/>
      <c r="S33" s="516"/>
      <c r="T33" s="516"/>
      <c r="U33" s="516"/>
      <c r="V33" s="498"/>
      <c r="W33" s="498"/>
      <c r="X33" s="498"/>
      <c r="Y33" s="498"/>
      <c r="Z33" s="498"/>
      <c r="AA33" s="498"/>
      <c r="AB33" s="498"/>
      <c r="AC33" s="498"/>
      <c r="AD33" s="498"/>
      <c r="AE33" s="498"/>
      <c r="AF33" s="498"/>
      <c r="AG33" s="498"/>
      <c r="AH33" s="498"/>
      <c r="AI33" s="498"/>
      <c r="AJ33" s="498"/>
      <c r="AK33" s="498"/>
      <c r="AL33" s="498"/>
      <c r="AM33" s="498"/>
      <c r="AN33" s="498"/>
      <c r="AO33" s="498"/>
      <c r="AP33" s="498"/>
    </row>
    <row r="34" spans="1:42" s="430" customFormat="1" ht="15" customHeight="1" thickBot="1" x14ac:dyDescent="0.3">
      <c r="A34" s="892" t="s">
        <v>314</v>
      </c>
      <c r="B34" s="909" t="s">
        <v>297</v>
      </c>
      <c r="C34" s="858">
        <f>0.99*(C21/1.025/C12+1.9*C6*C12)</f>
        <v>1235.9226634083334</v>
      </c>
      <c r="D34" s="778">
        <f>0.99*(D21/1.025/D12+1.9*D6*D12)</f>
        <v>1235.9226634083334</v>
      </c>
      <c r="E34" s="454">
        <f>0.99*(E21/1.025/E12+1.9*E6*E12)</f>
        <v>1235.9226634083334</v>
      </c>
      <c r="F34" s="502"/>
      <c r="G34" s="500"/>
      <c r="H34" s="500"/>
      <c r="I34" s="500"/>
      <c r="J34" s="508"/>
      <c r="K34" s="513"/>
      <c r="L34" s="513"/>
      <c r="M34" s="518"/>
      <c r="N34" s="519"/>
      <c r="O34" s="516"/>
      <c r="P34" s="424"/>
      <c r="Q34" s="512"/>
      <c r="R34" s="516"/>
      <c r="S34" s="516"/>
      <c r="T34" s="516"/>
      <c r="U34" s="516"/>
      <c r="V34" s="498"/>
      <c r="W34" s="498"/>
      <c r="X34" s="498"/>
      <c r="Y34" s="498"/>
      <c r="Z34" s="498"/>
      <c r="AA34" s="498"/>
      <c r="AB34" s="498"/>
      <c r="AC34" s="498"/>
      <c r="AD34" s="498"/>
      <c r="AE34" s="498"/>
      <c r="AF34" s="498"/>
      <c r="AG34" s="498"/>
      <c r="AH34" s="498"/>
      <c r="AI34" s="498"/>
      <c r="AJ34" s="498"/>
      <c r="AK34" s="498"/>
      <c r="AL34" s="498"/>
      <c r="AM34" s="498"/>
      <c r="AN34" s="498"/>
      <c r="AO34" s="498"/>
      <c r="AP34" s="498"/>
    </row>
    <row r="35" spans="1:42" s="430" customFormat="1" ht="15" customHeight="1" x14ac:dyDescent="0.25">
      <c r="A35" s="889" t="s">
        <v>274</v>
      </c>
      <c r="B35" s="906" t="s">
        <v>6</v>
      </c>
      <c r="C35" s="859">
        <f>IF(C3&lt;150000,MIN(15,9.5*C3^0.043),15+(C3-150000)*0.000005)</f>
        <v>13.172490532473214</v>
      </c>
      <c r="D35" s="779">
        <f>C35</f>
        <v>13.172490532473214</v>
      </c>
      <c r="E35" s="453">
        <f>C35</f>
        <v>13.172490532473214</v>
      </c>
      <c r="F35" s="502"/>
      <c r="G35" s="500"/>
      <c r="H35" s="500"/>
      <c r="I35" s="500"/>
      <c r="J35" s="508"/>
      <c r="K35" s="485"/>
      <c r="L35" s="485"/>
      <c r="M35" s="518"/>
      <c r="N35" s="519"/>
      <c r="O35" s="451"/>
      <c r="P35" s="424"/>
      <c r="Q35" s="512"/>
      <c r="R35" s="451"/>
      <c r="S35" s="451"/>
      <c r="T35" s="451"/>
      <c r="U35" s="451"/>
    </row>
    <row r="36" spans="1:42" s="430" customFormat="1" ht="15" customHeight="1" x14ac:dyDescent="0.25">
      <c r="A36" s="890" t="s">
        <v>322</v>
      </c>
      <c r="B36" s="907" t="s">
        <v>3</v>
      </c>
      <c r="C36" s="856">
        <f>C35*0.5144/(9.81*C6)^0.5</f>
        <v>0.25970241892873619</v>
      </c>
      <c r="D36" s="774">
        <f>D35*0.5144/(9.81*D6)^0.5</f>
        <v>0.25970241892873619</v>
      </c>
      <c r="E36" s="433">
        <f>E35*0.5144/(9.81*E6)^0.5</f>
        <v>0.25970241892873619</v>
      </c>
      <c r="F36" s="502"/>
      <c r="G36" s="500"/>
      <c r="H36" s="500"/>
      <c r="I36" s="500"/>
      <c r="J36" s="508"/>
      <c r="K36" s="485"/>
      <c r="L36" s="485"/>
      <c r="M36" s="518"/>
      <c r="N36" s="519"/>
      <c r="O36" s="451"/>
      <c r="P36" s="424"/>
      <c r="Q36" s="512"/>
      <c r="R36" s="451"/>
      <c r="S36" s="451"/>
      <c r="T36" s="451"/>
      <c r="U36" s="451"/>
    </row>
    <row r="37" spans="1:42" s="430" customFormat="1" ht="15" customHeight="1" x14ac:dyDescent="0.25">
      <c r="A37" s="893" t="s">
        <v>334</v>
      </c>
      <c r="B37" s="910" t="s">
        <v>6</v>
      </c>
      <c r="C37" s="221">
        <f>'PT1'!R26</f>
        <v>12.968085356001085</v>
      </c>
      <c r="D37" s="780">
        <f>'PT2'!R22</f>
        <v>12.968085356001085</v>
      </c>
      <c r="E37" s="431">
        <f>'PT3'!R22</f>
        <v>12.968085356001085</v>
      </c>
      <c r="F37" s="502"/>
      <c r="G37" s="500"/>
      <c r="H37" s="500"/>
      <c r="I37" s="500"/>
      <c r="J37" s="485"/>
      <c r="K37" s="485"/>
      <c r="L37" s="485"/>
      <c r="M37" s="518"/>
      <c r="N37" s="519"/>
      <c r="O37" s="451"/>
      <c r="P37" s="424"/>
      <c r="Q37" s="512"/>
      <c r="R37" s="451"/>
      <c r="S37" s="451"/>
      <c r="T37" s="451"/>
      <c r="U37" s="451"/>
    </row>
    <row r="38" spans="1:42" s="430" customFormat="1" ht="15" customHeight="1" x14ac:dyDescent="0.25">
      <c r="A38" s="890" t="s">
        <v>335</v>
      </c>
      <c r="B38" s="907" t="s">
        <v>3</v>
      </c>
      <c r="C38" s="856">
        <f>C37*0.5144/(9.81*C6)^0.5</f>
        <v>0.25567246585034897</v>
      </c>
      <c r="D38" s="781">
        <f>D37*0.5144/(9.81*D6)^0.5</f>
        <v>0.25567246585034897</v>
      </c>
      <c r="E38" s="433">
        <f>E37*0.5144/(9.81*E6)^0.5</f>
        <v>0.25567246585034897</v>
      </c>
      <c r="F38" s="502"/>
      <c r="G38" s="500"/>
      <c r="H38" s="500"/>
      <c r="I38" s="500"/>
      <c r="J38" s="485"/>
      <c r="K38" s="485"/>
      <c r="L38" s="485"/>
      <c r="M38" s="518"/>
      <c r="N38" s="519"/>
      <c r="O38" s="451"/>
      <c r="P38" s="424"/>
      <c r="Q38" s="512"/>
      <c r="R38" s="451"/>
      <c r="S38" s="451"/>
      <c r="T38" s="451"/>
      <c r="U38" s="451"/>
    </row>
    <row r="39" spans="1:42" s="430" customFormat="1" ht="15" customHeight="1" thickBot="1" x14ac:dyDescent="0.3">
      <c r="A39" s="890" t="s">
        <v>275</v>
      </c>
      <c r="B39" s="907" t="s">
        <v>158</v>
      </c>
      <c r="C39" s="860">
        <v>15</v>
      </c>
      <c r="D39" s="837">
        <f>C39</f>
        <v>15</v>
      </c>
      <c r="E39" s="838">
        <f>C39</f>
        <v>15</v>
      </c>
      <c r="F39" s="485"/>
      <c r="G39" s="485"/>
      <c r="H39" s="485"/>
      <c r="I39" s="485"/>
      <c r="J39" s="485"/>
      <c r="K39" s="485"/>
      <c r="L39" s="485"/>
      <c r="M39" s="518"/>
      <c r="N39" s="519"/>
      <c r="O39" s="451"/>
      <c r="P39" s="424"/>
      <c r="Q39" s="512"/>
      <c r="R39" s="451"/>
      <c r="S39" s="451"/>
      <c r="T39" s="451"/>
      <c r="U39" s="451"/>
    </row>
    <row r="40" spans="1:42" s="430" customFormat="1" ht="15" customHeight="1" thickBot="1" x14ac:dyDescent="0.3">
      <c r="A40" s="889" t="s">
        <v>451</v>
      </c>
      <c r="B40" s="906" t="s">
        <v>3</v>
      </c>
      <c r="C40" s="861">
        <v>0.85</v>
      </c>
      <c r="D40" s="840">
        <f>C40</f>
        <v>0.85</v>
      </c>
      <c r="E40" s="841">
        <f>C40</f>
        <v>0.85</v>
      </c>
      <c r="F40" s="485"/>
      <c r="G40" s="485"/>
      <c r="H40" s="485"/>
      <c r="I40" s="485"/>
      <c r="J40" s="485"/>
      <c r="K40" s="485"/>
      <c r="L40" s="485"/>
      <c r="M40" s="518"/>
      <c r="N40" s="519"/>
      <c r="O40" s="451"/>
      <c r="P40" s="424"/>
      <c r="Q40" s="512"/>
      <c r="R40" s="451"/>
      <c r="S40" s="451"/>
      <c r="T40" s="451"/>
      <c r="U40" s="451"/>
    </row>
    <row r="41" spans="1:42" s="430" customFormat="1" ht="15" customHeight="1" x14ac:dyDescent="0.25">
      <c r="A41" s="890" t="s">
        <v>490</v>
      </c>
      <c r="B41" s="907" t="s">
        <v>297</v>
      </c>
      <c r="C41" s="922">
        <f>6*C3^0.43</f>
        <v>157.6137668678569</v>
      </c>
      <c r="D41" s="923">
        <f>6*D3^0.43</f>
        <v>157.6137668678569</v>
      </c>
      <c r="E41" s="924">
        <f>6*E3^0.43</f>
        <v>157.6137668678569</v>
      </c>
      <c r="F41" s="485"/>
      <c r="G41" s="485"/>
      <c r="H41" s="485"/>
      <c r="I41" s="485"/>
      <c r="J41" s="485"/>
      <c r="K41" s="485"/>
      <c r="L41" s="485"/>
      <c r="M41" s="518"/>
      <c r="N41" s="519"/>
      <c r="O41" s="451"/>
      <c r="P41" s="424"/>
      <c r="Q41" s="512"/>
      <c r="R41" s="451"/>
      <c r="S41" s="451"/>
      <c r="T41" s="451"/>
      <c r="U41" s="451"/>
    </row>
    <row r="42" spans="1:42" s="430" customFormat="1" ht="15" customHeight="1" x14ac:dyDescent="0.25">
      <c r="A42" s="890" t="s">
        <v>491</v>
      </c>
      <c r="B42" s="907" t="s">
        <v>297</v>
      </c>
      <c r="C42" s="922">
        <f>C41+(C12-C11)*C7</f>
        <v>160.86052752684637</v>
      </c>
      <c r="D42" s="923">
        <f>D41+(D12-D11)*D7</f>
        <v>160.86052752684637</v>
      </c>
      <c r="E42" s="924">
        <f>E41+(E12-E11)*E7</f>
        <v>160.86052752684637</v>
      </c>
      <c r="F42" s="485"/>
      <c r="G42" s="485"/>
      <c r="H42" s="485"/>
      <c r="I42" s="485"/>
      <c r="J42" s="485"/>
      <c r="K42" s="485"/>
      <c r="L42" s="485"/>
      <c r="M42" s="518"/>
      <c r="N42" s="519"/>
      <c r="O42" s="451"/>
      <c r="P42" s="424"/>
      <c r="Q42" s="512"/>
      <c r="R42" s="451"/>
      <c r="S42" s="451"/>
      <c r="T42" s="451"/>
      <c r="U42" s="451"/>
    </row>
    <row r="43" spans="1:42" s="430" customFormat="1" ht="15" customHeight="1" x14ac:dyDescent="0.25">
      <c r="A43" s="894" t="s">
        <v>492</v>
      </c>
      <c r="B43" s="911" t="s">
        <v>295</v>
      </c>
      <c r="C43" s="862">
        <v>0</v>
      </c>
      <c r="D43" s="847">
        <f>C43</f>
        <v>0</v>
      </c>
      <c r="E43" s="848">
        <f>C43</f>
        <v>0</v>
      </c>
      <c r="F43" s="485"/>
      <c r="G43" s="485"/>
      <c r="H43" s="485"/>
      <c r="I43" s="485"/>
      <c r="J43" s="485"/>
      <c r="K43" s="485"/>
      <c r="L43" s="485"/>
      <c r="M43" s="518"/>
      <c r="N43" s="519"/>
      <c r="O43" s="451"/>
      <c r="P43" s="424"/>
      <c r="Q43" s="512"/>
      <c r="R43" s="451"/>
      <c r="S43" s="451"/>
      <c r="T43" s="451"/>
      <c r="U43" s="451"/>
    </row>
    <row r="44" spans="1:42" s="430" customFormat="1" ht="15" customHeight="1" x14ac:dyDescent="0.25">
      <c r="A44" s="895" t="s">
        <v>425</v>
      </c>
      <c r="B44" s="912" t="s">
        <v>1</v>
      </c>
      <c r="C44" s="863">
        <f>MAX(0,0.01666667*C43^3-0.23571429*C43^2+1.8333*C43-3.6)</f>
        <v>0</v>
      </c>
      <c r="D44" s="782">
        <f>MAX(0,0.01666667*D43^3-0.23571429*D43^2+1.8333*D43-3.6)</f>
        <v>0</v>
      </c>
      <c r="E44" s="520">
        <f>MAX(0,0.01666667*E43^3-0.23571429*E43^2+1.8333*E43-3.6)</f>
        <v>0</v>
      </c>
      <c r="F44" s="485"/>
      <c r="G44" s="485"/>
      <c r="H44" s="485"/>
      <c r="I44" s="485"/>
      <c r="J44" s="485"/>
      <c r="K44" s="485"/>
      <c r="L44" s="485"/>
      <c r="M44" s="518"/>
      <c r="N44" s="519"/>
      <c r="O44" s="451"/>
      <c r="P44" s="424"/>
      <c r="Q44" s="512"/>
      <c r="R44" s="451"/>
      <c r="S44" s="451"/>
      <c r="T44" s="451"/>
      <c r="U44" s="451"/>
    </row>
    <row r="45" spans="1:42" s="430" customFormat="1" ht="15" customHeight="1" x14ac:dyDescent="0.25">
      <c r="A45" s="890" t="s">
        <v>294</v>
      </c>
      <c r="B45" s="907" t="s">
        <v>296</v>
      </c>
      <c r="C45" s="542">
        <f>IF(C43=0,0,MAX(0,0.18+0.464*C43+0.4034113*C43^2-0.0285278*C43^3+0.00097424*C43^4))</f>
        <v>0</v>
      </c>
      <c r="D45" s="617">
        <f>IF(D43=0,0,MAX(0,0.18+0.464*D43+0.4034113*D43^2-0.0285278*D43^3+0.00097424*D43^4))</f>
        <v>0</v>
      </c>
      <c r="E45" s="459">
        <f>IF(E43=0,0,MAX(0,0.18+0.464*E43+0.4034113*E43^2-0.0285278*E43^3+0.00097424*E43^4))</f>
        <v>0</v>
      </c>
      <c r="F45" s="485"/>
      <c r="G45" s="485"/>
      <c r="H45" s="485"/>
      <c r="I45" s="485"/>
      <c r="J45" s="485"/>
      <c r="K45" s="485"/>
      <c r="L45" s="485"/>
      <c r="M45" s="518"/>
      <c r="N45" s="519"/>
      <c r="O45" s="451"/>
      <c r="P45" s="424"/>
      <c r="Q45" s="512"/>
      <c r="R45" s="451"/>
      <c r="S45" s="451"/>
      <c r="T45" s="451"/>
      <c r="U45" s="451"/>
    </row>
    <row r="46" spans="1:42" s="430" customFormat="1" ht="15" customHeight="1" x14ac:dyDescent="0.25">
      <c r="A46" s="895" t="s">
        <v>494</v>
      </c>
      <c r="B46" s="912" t="s">
        <v>426</v>
      </c>
      <c r="C46" s="864">
        <f>'PS1'!K31</f>
        <v>0</v>
      </c>
      <c r="D46" s="783">
        <f>'PS2'!K31</f>
        <v>0</v>
      </c>
      <c r="E46" s="618">
        <f>'PS3'!K31</f>
        <v>0</v>
      </c>
      <c r="F46" s="485"/>
      <c r="G46" s="485"/>
      <c r="H46" s="485"/>
      <c r="I46" s="485"/>
      <c r="J46" s="485"/>
      <c r="K46" s="485"/>
      <c r="L46" s="485"/>
      <c r="M46" s="518"/>
      <c r="N46" s="519"/>
      <c r="O46" s="451"/>
      <c r="P46" s="424"/>
      <c r="Q46" s="512"/>
      <c r="R46" s="451"/>
      <c r="S46" s="451"/>
      <c r="T46" s="451"/>
      <c r="U46" s="451"/>
    </row>
    <row r="47" spans="1:42" s="430" customFormat="1" ht="15" customHeight="1" x14ac:dyDescent="0.25">
      <c r="A47" s="895" t="s">
        <v>444</v>
      </c>
      <c r="B47" s="912" t="s">
        <v>426</v>
      </c>
      <c r="C47" s="224">
        <f>1336*(5.3+C35*0.5144)*(C7*C11/C5)^0.75*C44^2/1000</f>
        <v>0</v>
      </c>
      <c r="D47" s="784">
        <f>1336*(5.3+D35*0.5144)*(D7*D11/D5)^0.75*D44^2/1000</f>
        <v>0</v>
      </c>
      <c r="E47" s="225">
        <f>1336*(5.3+E35*0.5144)*(E7*E11/E5)^0.75*E44^2/1000</f>
        <v>0</v>
      </c>
      <c r="F47" s="485"/>
      <c r="G47" s="485"/>
      <c r="H47" s="485"/>
      <c r="I47" s="485"/>
      <c r="J47" s="485"/>
      <c r="K47" s="485"/>
      <c r="L47" s="485"/>
      <c r="M47" s="518"/>
      <c r="N47" s="519"/>
      <c r="O47" s="451"/>
      <c r="P47" s="424"/>
      <c r="Q47" s="512"/>
      <c r="R47" s="451"/>
      <c r="S47" s="451"/>
      <c r="T47" s="451"/>
      <c r="U47" s="451"/>
    </row>
    <row r="48" spans="1:42" s="430" customFormat="1" ht="15" customHeight="1" thickBot="1" x14ac:dyDescent="0.3">
      <c r="A48" s="896" t="s">
        <v>493</v>
      </c>
      <c r="B48" s="913" t="s">
        <v>158</v>
      </c>
      <c r="C48" s="865">
        <f>'PS1'!K34</f>
        <v>0</v>
      </c>
      <c r="D48" s="849">
        <f>'PS2'!K34</f>
        <v>0</v>
      </c>
      <c r="E48" s="850">
        <f>'PS3'!K34</f>
        <v>0</v>
      </c>
      <c r="F48" s="485"/>
      <c r="G48" s="485"/>
      <c r="H48" s="485"/>
      <c r="I48" s="485"/>
      <c r="J48" s="485"/>
      <c r="K48" s="485"/>
      <c r="L48" s="485"/>
      <c r="M48" s="518"/>
      <c r="N48" s="519"/>
      <c r="O48" s="451"/>
      <c r="P48" s="424"/>
      <c r="Q48" s="512"/>
      <c r="R48" s="451"/>
      <c r="S48" s="451"/>
      <c r="T48" s="451"/>
      <c r="U48" s="451"/>
    </row>
    <row r="49" spans="1:21" s="430" customFormat="1" ht="15" customHeight="1" x14ac:dyDescent="0.25">
      <c r="A49" s="890" t="s">
        <v>276</v>
      </c>
      <c r="B49" s="907" t="s">
        <v>158</v>
      </c>
      <c r="C49" s="222">
        <v>98</v>
      </c>
      <c r="D49" s="839">
        <v>98</v>
      </c>
      <c r="E49" s="223">
        <v>98</v>
      </c>
      <c r="F49" s="485"/>
      <c r="G49" s="485"/>
      <c r="H49" s="485"/>
      <c r="I49" s="485"/>
      <c r="J49" s="485"/>
      <c r="K49" s="485"/>
      <c r="L49" s="485"/>
      <c r="M49" s="518"/>
      <c r="N49" s="519"/>
      <c r="O49" s="451"/>
      <c r="P49" s="424"/>
      <c r="Q49" s="512"/>
      <c r="R49" s="451"/>
      <c r="S49" s="451"/>
      <c r="T49" s="451"/>
      <c r="U49" s="451"/>
    </row>
    <row r="50" spans="1:21" s="430" customFormat="1" ht="15" customHeight="1" x14ac:dyDescent="0.25">
      <c r="A50" s="897" t="s">
        <v>396</v>
      </c>
      <c r="B50" s="914" t="s">
        <v>158</v>
      </c>
      <c r="C50" s="866">
        <v>0</v>
      </c>
      <c r="D50" s="785">
        <f>C50</f>
        <v>0</v>
      </c>
      <c r="E50" s="457">
        <f>C50</f>
        <v>0</v>
      </c>
      <c r="F50" s="485"/>
      <c r="G50" s="485"/>
      <c r="H50" s="485"/>
      <c r="I50" s="485"/>
      <c r="J50" s="485"/>
      <c r="K50" s="485"/>
      <c r="L50" s="485"/>
      <c r="M50" s="518"/>
      <c r="N50" s="519"/>
      <c r="O50" s="451"/>
      <c r="P50" s="424"/>
      <c r="Q50" s="512"/>
      <c r="R50" s="451"/>
      <c r="S50" s="451"/>
      <c r="T50" s="451"/>
      <c r="U50" s="451"/>
    </row>
    <row r="51" spans="1:21" s="430" customFormat="1" ht="15" customHeight="1" x14ac:dyDescent="0.25">
      <c r="A51" s="890" t="s">
        <v>445</v>
      </c>
      <c r="B51" s="907" t="s">
        <v>156</v>
      </c>
      <c r="C51" s="224">
        <f>'PS1'!K38</f>
        <v>2513.0074611341952</v>
      </c>
      <c r="D51" s="784">
        <f>'PS2'!K38</f>
        <v>2513.0074611341952</v>
      </c>
      <c r="E51" s="225">
        <f>'PS3'!K38</f>
        <v>2513.0074611341952</v>
      </c>
      <c r="F51" s="485"/>
      <c r="G51" s="485"/>
      <c r="H51" s="485"/>
      <c r="I51" s="485"/>
      <c r="J51" s="485"/>
      <c r="K51" s="485"/>
      <c r="L51" s="485"/>
      <c r="M51" s="518"/>
      <c r="N51" s="519"/>
      <c r="O51" s="451"/>
      <c r="P51" s="424"/>
      <c r="Q51" s="512"/>
      <c r="R51" s="451"/>
      <c r="S51" s="451"/>
      <c r="T51" s="451"/>
      <c r="U51" s="451"/>
    </row>
    <row r="52" spans="1:21" s="430" customFormat="1" ht="15" customHeight="1" x14ac:dyDescent="0.25">
      <c r="A52" s="890" t="s">
        <v>437</v>
      </c>
      <c r="B52" s="907" t="s">
        <v>156</v>
      </c>
      <c r="C52" s="224">
        <f>0.0652*C3+5960.2</f>
        <v>6090.5999999999995</v>
      </c>
      <c r="D52" s="784">
        <f>0.0652*D3+5960.2</f>
        <v>6090.5999999999995</v>
      </c>
      <c r="E52" s="225">
        <f>0.0652*E3+5960.2</f>
        <v>6090.5999999999995</v>
      </c>
      <c r="F52" s="485"/>
      <c r="G52" s="485"/>
      <c r="H52" s="485"/>
      <c r="I52" s="485"/>
      <c r="J52" s="485"/>
      <c r="K52" s="485"/>
      <c r="L52" s="485"/>
      <c r="M52" s="518"/>
      <c r="N52" s="519"/>
      <c r="O52" s="451"/>
      <c r="P52" s="424"/>
      <c r="Q52" s="512"/>
      <c r="R52" s="451"/>
      <c r="S52" s="451"/>
      <c r="T52" s="451"/>
      <c r="U52" s="451"/>
    </row>
    <row r="53" spans="1:21" s="430" customFormat="1" ht="15" customHeight="1" thickBot="1" x14ac:dyDescent="0.3">
      <c r="A53" s="896" t="s">
        <v>277</v>
      </c>
      <c r="B53" s="913" t="s">
        <v>156</v>
      </c>
      <c r="C53" s="858">
        <f>'PS1'!K38/C80*100</f>
        <v>2792.2305123713281</v>
      </c>
      <c r="D53" s="786">
        <f>'PS2'!K38/D80*100</f>
        <v>2792.2305123713281</v>
      </c>
      <c r="E53" s="454">
        <f>'PS3'!K38/E80*100</f>
        <v>2792.2305123713281</v>
      </c>
      <c r="F53" s="485"/>
      <c r="G53" s="485"/>
      <c r="H53" s="485"/>
      <c r="I53" s="485"/>
      <c r="J53" s="485"/>
      <c r="K53" s="485"/>
      <c r="L53" s="485"/>
      <c r="M53" s="518"/>
      <c r="N53" s="519"/>
      <c r="O53" s="451"/>
      <c r="P53" s="424"/>
      <c r="Q53" s="512"/>
      <c r="R53" s="451"/>
      <c r="S53" s="451"/>
      <c r="T53" s="451"/>
      <c r="U53" s="451"/>
    </row>
    <row r="54" spans="1:21" s="430" customFormat="1" ht="15" customHeight="1" x14ac:dyDescent="0.25">
      <c r="A54" s="897" t="s">
        <v>418</v>
      </c>
      <c r="B54" s="914" t="s">
        <v>156</v>
      </c>
      <c r="C54" s="867">
        <v>0</v>
      </c>
      <c r="D54" s="787">
        <v>0</v>
      </c>
      <c r="E54" s="458">
        <v>0</v>
      </c>
      <c r="F54" s="485"/>
      <c r="G54" s="485"/>
      <c r="H54" s="485"/>
      <c r="I54" s="485"/>
      <c r="J54" s="485"/>
      <c r="K54" s="485"/>
      <c r="L54" s="485"/>
      <c r="M54" s="518"/>
      <c r="N54" s="519"/>
      <c r="O54" s="451"/>
      <c r="P54" s="424"/>
      <c r="Q54" s="512"/>
      <c r="R54" s="451"/>
      <c r="S54" s="451"/>
      <c r="T54" s="451"/>
      <c r="U54" s="451"/>
    </row>
    <row r="55" spans="1:21" s="430" customFormat="1" ht="15" customHeight="1" x14ac:dyDescent="0.25">
      <c r="A55" s="897" t="s">
        <v>420</v>
      </c>
      <c r="B55" s="914" t="s">
        <v>156</v>
      </c>
      <c r="C55" s="423">
        <f>MIN(C54,C64/0.75)</f>
        <v>0</v>
      </c>
      <c r="D55" s="788">
        <f>MIN(D54,D64/0.75)</f>
        <v>0</v>
      </c>
      <c r="E55" s="434">
        <f>MIN(E54,E64/0.75)</f>
        <v>0</v>
      </c>
      <c r="F55" s="485"/>
      <c r="G55" s="485"/>
      <c r="H55" s="485"/>
      <c r="I55" s="485"/>
      <c r="J55" s="485"/>
      <c r="K55" s="485"/>
      <c r="L55" s="485"/>
      <c r="M55" s="518"/>
      <c r="N55" s="519"/>
      <c r="O55" s="451"/>
      <c r="P55" s="424"/>
      <c r="Q55" s="512"/>
      <c r="R55" s="451"/>
      <c r="S55" s="451"/>
      <c r="T55" s="451"/>
      <c r="U55" s="451"/>
    </row>
    <row r="56" spans="1:21" s="430" customFormat="1" ht="15" customHeight="1" x14ac:dyDescent="0.25">
      <c r="A56" s="890" t="s">
        <v>447</v>
      </c>
      <c r="B56" s="914" t="s">
        <v>156</v>
      </c>
      <c r="C56" s="796">
        <f>C53-C55</f>
        <v>2792.2305123713281</v>
      </c>
      <c r="D56" s="796">
        <f>D53-D55</f>
        <v>2792.2305123713281</v>
      </c>
      <c r="E56" s="797">
        <f>E53-E55</f>
        <v>2792.2305123713281</v>
      </c>
      <c r="F56" s="485"/>
      <c r="G56" s="485"/>
      <c r="H56" s="485"/>
      <c r="I56" s="485"/>
      <c r="J56" s="485"/>
      <c r="K56" s="485"/>
      <c r="L56" s="485"/>
      <c r="M56" s="518"/>
      <c r="N56" s="519"/>
      <c r="O56" s="451"/>
      <c r="P56" s="424"/>
      <c r="Q56" s="512"/>
      <c r="R56" s="451"/>
      <c r="S56" s="451"/>
      <c r="T56" s="451"/>
      <c r="U56" s="451"/>
    </row>
    <row r="57" spans="1:21" s="430" customFormat="1" ht="15" customHeight="1" x14ac:dyDescent="0.25">
      <c r="A57" s="897" t="s">
        <v>421</v>
      </c>
      <c r="B57" s="914" t="s">
        <v>156</v>
      </c>
      <c r="C57" s="868">
        <v>0</v>
      </c>
      <c r="D57" s="789">
        <v>0</v>
      </c>
      <c r="E57" s="445">
        <v>0</v>
      </c>
      <c r="F57" s="485"/>
      <c r="G57" s="485"/>
      <c r="H57" s="485"/>
      <c r="I57" s="485"/>
      <c r="J57" s="485"/>
      <c r="K57" s="485"/>
      <c r="L57" s="485"/>
      <c r="M57" s="518"/>
      <c r="N57" s="519"/>
      <c r="O57" s="451"/>
      <c r="P57" s="424"/>
      <c r="Q57" s="512"/>
      <c r="R57" s="451"/>
      <c r="S57" s="451"/>
      <c r="T57" s="451"/>
      <c r="U57" s="451"/>
    </row>
    <row r="58" spans="1:21" s="430" customFormat="1" ht="15" customHeight="1" x14ac:dyDescent="0.25">
      <c r="A58" s="897" t="s">
        <v>422</v>
      </c>
      <c r="B58" s="914" t="s">
        <v>156</v>
      </c>
      <c r="C58" s="869">
        <v>0</v>
      </c>
      <c r="D58" s="790">
        <v>0</v>
      </c>
      <c r="E58" s="446">
        <v>0</v>
      </c>
      <c r="F58" s="485"/>
      <c r="G58" s="485"/>
      <c r="H58" s="485"/>
      <c r="I58" s="485"/>
      <c r="J58" s="485"/>
      <c r="K58" s="485"/>
      <c r="L58" s="485"/>
      <c r="M58" s="518"/>
      <c r="N58" s="519"/>
      <c r="O58" s="451"/>
      <c r="P58" s="424"/>
      <c r="Q58" s="512"/>
      <c r="R58" s="451"/>
      <c r="S58" s="451"/>
      <c r="T58" s="451"/>
      <c r="U58" s="451"/>
    </row>
    <row r="59" spans="1:21" s="430" customFormat="1" ht="15" customHeight="1" x14ac:dyDescent="0.25">
      <c r="A59" s="890" t="s">
        <v>474</v>
      </c>
      <c r="B59" s="915" t="s">
        <v>419</v>
      </c>
      <c r="C59" s="870">
        <v>0.9</v>
      </c>
      <c r="D59" s="791">
        <v>0.9</v>
      </c>
      <c r="E59" s="543">
        <v>0.9</v>
      </c>
      <c r="F59" s="485"/>
      <c r="G59" s="485"/>
      <c r="H59" s="485"/>
      <c r="I59" s="485"/>
      <c r="J59" s="485"/>
      <c r="K59" s="485"/>
      <c r="L59" s="485"/>
      <c r="M59" s="518"/>
      <c r="N59" s="519"/>
      <c r="O59" s="451"/>
      <c r="P59" s="424"/>
      <c r="Q59" s="512"/>
      <c r="R59" s="451"/>
      <c r="S59" s="451"/>
      <c r="T59" s="451"/>
      <c r="U59" s="451"/>
    </row>
    <row r="60" spans="1:21" s="430" customFormat="1" ht="15" customHeight="1" x14ac:dyDescent="0.25">
      <c r="A60" s="890" t="s">
        <v>473</v>
      </c>
      <c r="B60" s="915" t="s">
        <v>419</v>
      </c>
      <c r="C60" s="441">
        <v>0.95</v>
      </c>
      <c r="D60" s="792">
        <v>0.95</v>
      </c>
      <c r="E60" s="442">
        <v>0.95</v>
      </c>
      <c r="F60" s="485"/>
      <c r="G60" s="485"/>
      <c r="H60" s="485"/>
      <c r="I60" s="485"/>
      <c r="J60" s="485"/>
      <c r="K60" s="485"/>
      <c r="L60" s="485"/>
      <c r="M60" s="518"/>
      <c r="N60" s="519"/>
      <c r="O60" s="451"/>
      <c r="P60" s="424"/>
      <c r="Q60" s="512"/>
      <c r="R60" s="451"/>
      <c r="S60" s="451"/>
      <c r="T60" s="451"/>
      <c r="U60" s="451"/>
    </row>
    <row r="61" spans="1:21" s="430" customFormat="1" ht="15" customHeight="1" x14ac:dyDescent="0.25">
      <c r="A61" s="890" t="s">
        <v>476</v>
      </c>
      <c r="B61" s="914" t="s">
        <v>156</v>
      </c>
      <c r="C61" s="871">
        <f>0.75*C57/C59*C60</f>
        <v>0</v>
      </c>
      <c r="D61" s="425">
        <f>0.75*D57/D59*D60</f>
        <v>0</v>
      </c>
      <c r="E61" s="435">
        <f>0.75*E57/E59*E60</f>
        <v>0</v>
      </c>
      <c r="F61" s="485"/>
      <c r="G61" s="485"/>
      <c r="H61" s="485"/>
      <c r="I61" s="485"/>
      <c r="J61" s="485"/>
      <c r="K61" s="485"/>
      <c r="L61" s="485"/>
      <c r="M61" s="518"/>
      <c r="N61" s="519"/>
      <c r="O61" s="451"/>
      <c r="P61" s="424"/>
      <c r="Q61" s="512"/>
      <c r="R61" s="451"/>
      <c r="S61" s="451"/>
      <c r="T61" s="451"/>
      <c r="U61" s="451"/>
    </row>
    <row r="62" spans="1:21" s="430" customFormat="1" ht="15" customHeight="1" x14ac:dyDescent="0.25">
      <c r="A62" s="890" t="s">
        <v>449</v>
      </c>
      <c r="B62" s="914" t="s">
        <v>156</v>
      </c>
      <c r="C62" s="872">
        <f>C56+C61</f>
        <v>2792.2305123713281</v>
      </c>
      <c r="D62" s="423">
        <f>D56+D61</f>
        <v>2792.2305123713281</v>
      </c>
      <c r="E62" s="434">
        <f>E56+E61</f>
        <v>2792.2305123713281</v>
      </c>
      <c r="F62" s="485"/>
      <c r="G62" s="485"/>
      <c r="H62" s="485"/>
      <c r="I62" s="485"/>
      <c r="J62" s="485"/>
      <c r="K62" s="485"/>
      <c r="L62" s="485"/>
      <c r="M62" s="518"/>
      <c r="N62" s="519"/>
      <c r="O62" s="451"/>
      <c r="P62" s="424"/>
      <c r="Q62" s="512"/>
      <c r="R62" s="451"/>
      <c r="S62" s="451"/>
      <c r="T62" s="451"/>
      <c r="U62" s="451"/>
    </row>
    <row r="63" spans="1:21" s="430" customFormat="1" ht="15" customHeight="1" x14ac:dyDescent="0.25">
      <c r="A63" s="890" t="s">
        <v>448</v>
      </c>
      <c r="B63" s="907" t="s">
        <v>156</v>
      </c>
      <c r="C63" s="873">
        <f>C53+C61/0.75</f>
        <v>2792.2305123713281</v>
      </c>
      <c r="D63" s="226">
        <f>D53+D61/0.75</f>
        <v>2792.2305123713281</v>
      </c>
      <c r="E63" s="438">
        <f>E53+E61/0.75</f>
        <v>2792.2305123713281</v>
      </c>
      <c r="F63" s="485"/>
      <c r="G63" s="485"/>
      <c r="H63" s="485"/>
      <c r="I63" s="485"/>
      <c r="J63" s="485"/>
      <c r="K63" s="485"/>
      <c r="L63" s="485"/>
      <c r="M63" s="518"/>
      <c r="N63" s="519"/>
      <c r="O63" s="451"/>
      <c r="P63" s="424"/>
      <c r="Q63" s="512"/>
      <c r="R63" s="451"/>
      <c r="S63" s="451"/>
      <c r="T63" s="451"/>
      <c r="U63" s="451"/>
    </row>
    <row r="64" spans="1:21" s="430" customFormat="1" ht="15" customHeight="1" x14ac:dyDescent="0.25">
      <c r="A64" s="890" t="s">
        <v>278</v>
      </c>
      <c r="B64" s="907" t="s">
        <v>156</v>
      </c>
      <c r="C64" s="773">
        <f>IF(C63&lt;10000,0.05*C63,250+0.025*C63)</f>
        <v>139.61152561856642</v>
      </c>
      <c r="D64" s="224">
        <f>IF(D63&lt;10000,0.05*D63,250+0.025*D63)</f>
        <v>139.61152561856642</v>
      </c>
      <c r="E64" s="225">
        <f>IF(E63&lt;10000,0.05*E63,250+0.025*E63)</f>
        <v>139.61152561856642</v>
      </c>
      <c r="F64" s="485"/>
      <c r="G64" s="485"/>
      <c r="H64" s="485"/>
      <c r="I64" s="485"/>
      <c r="J64" s="485"/>
      <c r="K64" s="485"/>
      <c r="L64" s="485"/>
      <c r="M64" s="518"/>
      <c r="N64" s="519"/>
      <c r="O64" s="451"/>
      <c r="P64" s="424"/>
      <c r="Q64" s="512"/>
      <c r="R64" s="451"/>
      <c r="S64" s="451"/>
      <c r="T64" s="451"/>
      <c r="U64" s="451"/>
    </row>
    <row r="65" spans="1:47" s="430" customFormat="1" ht="16.350000000000001" customHeight="1" x14ac:dyDescent="0.25">
      <c r="A65" s="897" t="s">
        <v>423</v>
      </c>
      <c r="B65" s="914" t="s">
        <v>156</v>
      </c>
      <c r="C65" s="872">
        <f>IF(C54&gt;0,0.75*C55,0)</f>
        <v>0</v>
      </c>
      <c r="D65" s="423">
        <f>IF(D54&gt;0,0.75*D55,0)</f>
        <v>0</v>
      </c>
      <c r="E65" s="434">
        <f>IF(E54&gt;0,0.75*E55,0)</f>
        <v>0</v>
      </c>
      <c r="F65" s="426"/>
      <c r="G65" s="426"/>
      <c r="H65" s="427"/>
      <c r="I65" s="427"/>
      <c r="J65" s="427"/>
      <c r="K65" s="427"/>
      <c r="L65" s="428"/>
      <c r="M65" s="428"/>
      <c r="N65" s="428"/>
      <c r="O65" s="428"/>
      <c r="P65" s="428"/>
      <c r="Q65" s="428"/>
      <c r="R65" s="428"/>
      <c r="S65" s="428"/>
      <c r="T65" s="428"/>
      <c r="U65" s="428"/>
      <c r="V65" s="428"/>
      <c r="W65" s="428"/>
      <c r="X65" s="428"/>
      <c r="Y65" s="428"/>
      <c r="Z65" s="428"/>
      <c r="AA65" s="429"/>
      <c r="AB65" s="429"/>
      <c r="AC65" s="429"/>
      <c r="AD65" s="429"/>
      <c r="AE65" s="429"/>
      <c r="AF65" s="429"/>
      <c r="AG65" s="429"/>
      <c r="AH65" s="429"/>
      <c r="AI65" s="429"/>
      <c r="AJ65" s="429"/>
      <c r="AK65" s="429"/>
      <c r="AL65" s="429"/>
      <c r="AM65" s="429"/>
      <c r="AN65" s="429"/>
      <c r="AO65" s="429"/>
      <c r="AP65" s="429"/>
      <c r="AQ65" s="429"/>
      <c r="AR65" s="429"/>
      <c r="AS65" s="429"/>
      <c r="AT65" s="429"/>
      <c r="AU65" s="429"/>
    </row>
    <row r="66" spans="1:47" s="430" customFormat="1" ht="16.350000000000001" customHeight="1" x14ac:dyDescent="0.25">
      <c r="A66" s="897" t="s">
        <v>424</v>
      </c>
      <c r="B66" s="914" t="s">
        <v>156</v>
      </c>
      <c r="C66" s="872">
        <f>C64-C65</f>
        <v>139.61152561856642</v>
      </c>
      <c r="D66" s="423">
        <f>D64-D65</f>
        <v>139.61152561856642</v>
      </c>
      <c r="E66" s="434">
        <f>E64-E65</f>
        <v>139.61152561856642</v>
      </c>
      <c r="F66" s="426"/>
      <c r="G66" s="426"/>
      <c r="H66" s="427"/>
      <c r="I66" s="427"/>
      <c r="J66" s="427"/>
      <c r="K66" s="427"/>
      <c r="L66" s="428"/>
      <c r="M66" s="428"/>
      <c r="N66" s="428"/>
      <c r="O66" s="428"/>
      <c r="P66" s="428"/>
      <c r="Q66" s="428"/>
      <c r="R66" s="428"/>
      <c r="S66" s="428"/>
      <c r="T66" s="428"/>
      <c r="U66" s="428"/>
      <c r="V66" s="428"/>
      <c r="W66" s="428"/>
      <c r="X66" s="428"/>
      <c r="Y66" s="428"/>
      <c r="Z66" s="428"/>
      <c r="AA66" s="429"/>
      <c r="AB66" s="429"/>
      <c r="AC66" s="429"/>
      <c r="AD66" s="429"/>
      <c r="AE66" s="429"/>
      <c r="AF66" s="429"/>
      <c r="AG66" s="429"/>
      <c r="AH66" s="429"/>
      <c r="AI66" s="429"/>
      <c r="AJ66" s="429"/>
      <c r="AK66" s="429"/>
      <c r="AL66" s="429"/>
      <c r="AM66" s="429"/>
      <c r="AN66" s="429"/>
      <c r="AO66" s="429"/>
      <c r="AP66" s="429"/>
      <c r="AQ66" s="429"/>
      <c r="AR66" s="429"/>
      <c r="AS66" s="429"/>
      <c r="AT66" s="429"/>
      <c r="AU66" s="429"/>
    </row>
    <row r="67" spans="1:47" s="430" customFormat="1" ht="15" customHeight="1" x14ac:dyDescent="0.25">
      <c r="A67" s="890" t="s">
        <v>410</v>
      </c>
      <c r="B67" s="907" t="s">
        <v>156</v>
      </c>
      <c r="C67" s="773">
        <f>12.5*C5^0.77</f>
        <v>322.18235364883867</v>
      </c>
      <c r="D67" s="443">
        <f>12.5*D5^0.77</f>
        <v>322.18235364883867</v>
      </c>
      <c r="E67" s="444">
        <f>12.5*E5^0.77</f>
        <v>322.18235364883867</v>
      </c>
      <c r="F67" s="485"/>
      <c r="G67" s="485"/>
      <c r="H67" s="485"/>
      <c r="I67" s="485"/>
      <c r="J67" s="485"/>
      <c r="K67" s="485"/>
      <c r="L67" s="485"/>
      <c r="M67" s="518"/>
      <c r="N67" s="519"/>
      <c r="O67" s="451"/>
      <c r="P67" s="424"/>
      <c r="Q67" s="512"/>
      <c r="R67" s="451"/>
      <c r="S67" s="451"/>
      <c r="T67" s="451"/>
      <c r="U67" s="451"/>
    </row>
    <row r="68" spans="1:47" s="430" customFormat="1" ht="15" customHeight="1" x14ac:dyDescent="0.25">
      <c r="A68" s="890" t="s">
        <v>300</v>
      </c>
      <c r="B68" s="907" t="s">
        <v>28</v>
      </c>
      <c r="C68" s="773">
        <v>1</v>
      </c>
      <c r="D68" s="222">
        <v>1</v>
      </c>
      <c r="E68" s="223">
        <v>1</v>
      </c>
      <c r="F68" s="485"/>
      <c r="G68" s="485"/>
      <c r="H68" s="485"/>
      <c r="I68" s="485"/>
      <c r="J68" s="485"/>
      <c r="K68" s="485"/>
      <c r="L68" s="485"/>
      <c r="M68" s="518"/>
      <c r="N68" s="519"/>
      <c r="O68" s="451"/>
      <c r="P68" s="424"/>
      <c r="Q68" s="512"/>
      <c r="R68" s="451"/>
      <c r="S68" s="451"/>
      <c r="T68" s="451"/>
      <c r="U68" s="451"/>
    </row>
    <row r="69" spans="1:47" s="430" customFormat="1" ht="15" customHeight="1" x14ac:dyDescent="0.25">
      <c r="A69" s="897" t="s">
        <v>427</v>
      </c>
      <c r="B69" s="914" t="s">
        <v>1</v>
      </c>
      <c r="C69" s="874">
        <v>-1</v>
      </c>
      <c r="D69" s="441">
        <v>-1</v>
      </c>
      <c r="E69" s="442">
        <v>-1</v>
      </c>
      <c r="F69" s="485"/>
      <c r="G69" s="485"/>
      <c r="H69" s="485"/>
      <c r="I69" s="485"/>
      <c r="J69" s="485"/>
      <c r="K69" s="485"/>
      <c r="L69" s="485"/>
      <c r="M69" s="518"/>
      <c r="N69" s="519"/>
      <c r="O69" s="451"/>
      <c r="P69" s="424"/>
      <c r="Q69" s="512"/>
      <c r="R69" s="451"/>
      <c r="S69" s="451"/>
      <c r="T69" s="451"/>
      <c r="U69" s="451"/>
    </row>
    <row r="70" spans="1:47" s="430" customFormat="1" ht="15" customHeight="1" x14ac:dyDescent="0.25">
      <c r="A70" s="890" t="s">
        <v>279</v>
      </c>
      <c r="B70" s="907" t="s">
        <v>1</v>
      </c>
      <c r="C70" s="768">
        <f>IF(C69&gt;0,C69,0.395*C12 +1.3)</f>
        <v>3.0735094775088392</v>
      </c>
      <c r="D70" s="221">
        <f>IF(D69&gt;0,D69,0.395*D12 +1.3)</f>
        <v>3.0735094775088392</v>
      </c>
      <c r="E70" s="431">
        <f>IF(E69&gt;0,E69,0.395*E12 +1.3)</f>
        <v>3.0735094775088392</v>
      </c>
      <c r="F70" s="485"/>
      <c r="G70" s="485"/>
      <c r="H70" s="485"/>
      <c r="I70" s="485"/>
      <c r="J70" s="485"/>
      <c r="K70" s="485"/>
      <c r="L70" s="485"/>
      <c r="M70" s="518"/>
      <c r="N70" s="519"/>
      <c r="O70" s="451"/>
      <c r="P70" s="424"/>
      <c r="Q70" s="512"/>
      <c r="R70" s="451"/>
      <c r="S70" s="451"/>
      <c r="T70" s="451"/>
      <c r="U70" s="451"/>
    </row>
    <row r="71" spans="1:47" s="430" customFormat="1" ht="15" customHeight="1" x14ac:dyDescent="0.25">
      <c r="A71" s="890" t="s">
        <v>280</v>
      </c>
      <c r="B71" s="907" t="s">
        <v>293</v>
      </c>
      <c r="C71" s="773">
        <f>C51/C70^2/0.7854</f>
        <v>338.71448366573759</v>
      </c>
      <c r="D71" s="224">
        <f>D51/D70^2/0.7854</f>
        <v>338.71448366573759</v>
      </c>
      <c r="E71" s="225">
        <f>E51/E70^2/0.7854</f>
        <v>338.71448366573759</v>
      </c>
      <c r="F71" s="485"/>
      <c r="G71" s="485"/>
      <c r="H71" s="485"/>
      <c r="I71" s="485"/>
      <c r="J71" s="485"/>
      <c r="K71" s="485"/>
      <c r="L71" s="485"/>
      <c r="M71" s="518"/>
      <c r="N71" s="519"/>
      <c r="O71" s="451"/>
      <c r="P71" s="424"/>
      <c r="Q71" s="512"/>
      <c r="R71" s="451"/>
      <c r="S71" s="451"/>
      <c r="T71" s="451"/>
      <c r="U71" s="451"/>
    </row>
    <row r="72" spans="1:47" s="430" customFormat="1" ht="15" customHeight="1" x14ac:dyDescent="0.25">
      <c r="A72" s="898" t="s">
        <v>281</v>
      </c>
      <c r="B72" s="916" t="s">
        <v>3</v>
      </c>
      <c r="C72" s="875">
        <f>'PT1'!L21/'PT1'!L35*('PT1'!M35-'PT1'!K35)/('PT1'!M21-'PT1'!K21)</f>
        <v>8.9834065508738732</v>
      </c>
      <c r="D72" s="793">
        <f>'PT2'!L21/'PT2'!L35*('PT2'!M35-'PT2'!K35)/('PT2'!M21-'PT2'!K21)</f>
        <v>8.9834065508738732</v>
      </c>
      <c r="E72" s="436">
        <f>'PT3'!L21/'PT3'!L35*('PT3'!M35-'PT3'!K35)/('PT3'!M21-'PT3'!K21)</f>
        <v>8.9834065508738732</v>
      </c>
      <c r="F72" s="485"/>
      <c r="G72" s="485"/>
      <c r="H72" s="485"/>
      <c r="I72" s="485"/>
      <c r="J72" s="485"/>
      <c r="K72" s="485"/>
      <c r="L72" s="485"/>
      <c r="M72" s="518"/>
      <c r="N72" s="519"/>
      <c r="O72" s="451"/>
      <c r="P72" s="424"/>
      <c r="Q72" s="512"/>
      <c r="R72" s="451"/>
      <c r="S72" s="451"/>
      <c r="T72" s="451"/>
      <c r="U72" s="451"/>
    </row>
    <row r="73" spans="1:47" s="430" customFormat="1" ht="15" customHeight="1" x14ac:dyDescent="0.25">
      <c r="A73" s="898" t="s">
        <v>282</v>
      </c>
      <c r="B73" s="916" t="s">
        <v>159</v>
      </c>
      <c r="C73" s="876">
        <f>((C56*0.75+C65)*'Emission factors'!B13*'Emission factors'!B23+C66*'Emission factors'!C13*'Emission factors'!C23+(C61-C58)*'Emission factors'!C13*'Emission factors'!C23)/C3/C37</f>
        <v>51.562908156769865</v>
      </c>
      <c r="D73" s="794">
        <f>((D56*0.75+D65)*'Emission factors'!D13*'Emission factors'!D23+D66*'Emission factors'!E13*'Emission factors'!E23+(D61-D58)*'Emission factors'!E13*'Emission factors'!E23)/D3/D37</f>
        <v>51.562908156769865</v>
      </c>
      <c r="E73" s="437">
        <f>((E56*0.75+E65)*'Emission factors'!F13*'Emission factors'!F23+E66*'Emission factors'!G13*'Emission factors'!G23+(E61-E58)*'Emission factors'!G13*'Emission factors'!G23)/E3/E37</f>
        <v>51.562908156769865</v>
      </c>
      <c r="F73" s="485"/>
      <c r="G73" s="485"/>
      <c r="H73" s="485"/>
      <c r="I73" s="485"/>
      <c r="J73" s="485"/>
      <c r="K73" s="485"/>
      <c r="L73" s="485"/>
      <c r="M73" s="518"/>
      <c r="N73" s="519"/>
      <c r="O73" s="451"/>
      <c r="P73" s="424"/>
      <c r="Q73" s="512"/>
      <c r="R73" s="451"/>
      <c r="S73" s="451"/>
      <c r="T73" s="451"/>
      <c r="U73" s="451"/>
    </row>
    <row r="74" spans="1:47" s="430" customFormat="1" ht="15" customHeight="1" x14ac:dyDescent="0.25">
      <c r="A74" s="898" t="s">
        <v>283</v>
      </c>
      <c r="B74" s="916" t="s">
        <v>159</v>
      </c>
      <c r="C74" s="876">
        <f>1218.8*C3^-0.488</f>
        <v>29.855875267567711</v>
      </c>
      <c r="D74" s="794">
        <f>1218.8*D3^-0.488</f>
        <v>29.855875267567711</v>
      </c>
      <c r="E74" s="437">
        <f>1218.8*E3^-0.488</f>
        <v>29.855875267567711</v>
      </c>
      <c r="F74" s="485"/>
      <c r="G74" s="485"/>
      <c r="H74" s="485"/>
      <c r="I74" s="485"/>
      <c r="J74" s="485"/>
      <c r="K74" s="485"/>
      <c r="L74" s="485"/>
      <c r="M74" s="518"/>
      <c r="N74" s="519"/>
      <c r="O74" s="451"/>
      <c r="P74" s="424"/>
      <c r="Q74" s="512"/>
      <c r="R74" s="451"/>
      <c r="S74" s="451"/>
      <c r="T74" s="451"/>
      <c r="U74" s="451"/>
    </row>
    <row r="75" spans="1:47" s="430" customFormat="1" ht="15" customHeight="1" x14ac:dyDescent="0.25">
      <c r="A75" s="898" t="s">
        <v>471</v>
      </c>
      <c r="B75" s="916" t="s">
        <v>159</v>
      </c>
      <c r="C75" s="876">
        <f>IF(C3&lt;20000,(0.1*(20000-C3)/16000+0.9),0.9)*C74</f>
        <v>30.229073708412308</v>
      </c>
      <c r="D75" s="794">
        <f>IF(D3&lt;20000,(0.1*(20000-D3)/16000+0.9),0.9)*D74</f>
        <v>30.229073708412308</v>
      </c>
      <c r="E75" s="437">
        <f>IF(E3&lt;20000,(0.1*(20000-E3)/16000+0.9),0.9)*E74</f>
        <v>30.229073708412308</v>
      </c>
      <c r="F75" s="485"/>
      <c r="G75" s="485"/>
      <c r="H75" s="485"/>
      <c r="I75" s="485"/>
      <c r="J75" s="485"/>
      <c r="K75" s="485"/>
      <c r="L75" s="485"/>
      <c r="M75" s="518"/>
      <c r="N75" s="519"/>
      <c r="O75" s="451"/>
      <c r="P75" s="424"/>
      <c r="Q75" s="512"/>
      <c r="R75" s="451"/>
      <c r="S75" s="451"/>
      <c r="T75" s="451"/>
      <c r="U75" s="451"/>
    </row>
    <row r="76" spans="1:47" s="430" customFormat="1" ht="15" customHeight="1" x14ac:dyDescent="0.25">
      <c r="A76" s="898" t="s">
        <v>469</v>
      </c>
      <c r="B76" s="916" t="s">
        <v>159</v>
      </c>
      <c r="C76" s="876">
        <f>IF(C3&lt;20000,(0.2*(20000-C3)/16000+0.8),0.8)*C74</f>
        <v>30.602272149256908</v>
      </c>
      <c r="D76" s="794">
        <f>IF(D3&lt;20000,(0.2*(20000-D3)/16000+0.8),0.8)*D74</f>
        <v>30.602272149256908</v>
      </c>
      <c r="E76" s="437">
        <f>IF(E3&lt;20000,(0.2*(20000-E3)/16000+0.8),0.8)*E74</f>
        <v>30.602272149256908</v>
      </c>
      <c r="F76" s="485"/>
      <c r="G76" s="485"/>
      <c r="H76" s="485"/>
      <c r="I76" s="485"/>
      <c r="J76" s="485"/>
      <c r="K76" s="485"/>
      <c r="L76" s="485"/>
      <c r="M76" s="518"/>
      <c r="N76" s="519"/>
      <c r="O76" s="451"/>
      <c r="P76" s="424"/>
      <c r="Q76" s="512"/>
      <c r="R76" s="451"/>
      <c r="S76" s="451"/>
      <c r="T76" s="451"/>
      <c r="U76" s="451"/>
    </row>
    <row r="77" spans="1:47" s="430" customFormat="1" ht="15" customHeight="1" thickBot="1" x14ac:dyDescent="0.3">
      <c r="A77" s="899" t="s">
        <v>470</v>
      </c>
      <c r="B77" s="917" t="s">
        <v>159</v>
      </c>
      <c r="C77" s="877">
        <f>IF(C3&lt;20000,(0.3*(20000-C3)/16000+0.7),0.7)*C74</f>
        <v>30.975470590101502</v>
      </c>
      <c r="D77" s="795">
        <f>IF(D3&lt;20000,(0.3*(20000-D3)/16000+0.7),0.7)*D74</f>
        <v>30.975470590101502</v>
      </c>
      <c r="E77" s="455">
        <f>IF(E3&lt;20000,(0.3*(20000-E3)/16000+0.7),0.7)*E74</f>
        <v>30.975470590101502</v>
      </c>
      <c r="F77" s="485"/>
      <c r="G77" s="485"/>
      <c r="H77" s="485"/>
      <c r="I77" s="485"/>
      <c r="J77" s="485"/>
      <c r="K77" s="485"/>
      <c r="L77" s="485"/>
      <c r="M77" s="518"/>
      <c r="N77" s="519"/>
      <c r="O77" s="451"/>
      <c r="P77" s="424"/>
      <c r="Q77" s="512"/>
      <c r="R77" s="451"/>
      <c r="S77" s="451"/>
      <c r="T77" s="451"/>
      <c r="U77" s="451"/>
    </row>
    <row r="78" spans="1:47" s="430" customFormat="1" ht="15" customHeight="1" thickBot="1" x14ac:dyDescent="0.3">
      <c r="A78" s="229" t="s">
        <v>327</v>
      </c>
      <c r="B78" s="918"/>
      <c r="C78" s="538"/>
      <c r="D78" s="538"/>
      <c r="E78" s="539"/>
      <c r="F78" s="485"/>
      <c r="G78" s="485"/>
      <c r="H78" s="485"/>
      <c r="I78" s="485"/>
      <c r="J78" s="485"/>
      <c r="K78" s="485"/>
      <c r="L78" s="485"/>
      <c r="M78" s="518"/>
      <c r="N78" s="519"/>
      <c r="O78" s="451"/>
      <c r="P78" s="424"/>
      <c r="Q78" s="512"/>
      <c r="R78" s="451"/>
      <c r="S78" s="451"/>
      <c r="T78" s="451"/>
      <c r="U78" s="451"/>
    </row>
    <row r="79" spans="1:47" s="430" customFormat="1" ht="15" customHeight="1" x14ac:dyDescent="0.25">
      <c r="A79" s="889" t="s">
        <v>319</v>
      </c>
      <c r="B79" s="906" t="s">
        <v>28</v>
      </c>
      <c r="C79" s="357">
        <v>2</v>
      </c>
      <c r="D79" s="357">
        <f>C79</f>
        <v>2</v>
      </c>
      <c r="E79" s="419">
        <f>C79</f>
        <v>2</v>
      </c>
      <c r="F79" s="485"/>
      <c r="G79" s="485"/>
      <c r="H79" s="485"/>
      <c r="I79" s="485"/>
      <c r="J79" s="485"/>
      <c r="K79" s="485"/>
      <c r="L79" s="485"/>
      <c r="M79" s="518"/>
      <c r="N79" s="519"/>
      <c r="O79" s="451"/>
      <c r="P79" s="424"/>
      <c r="Q79" s="512"/>
      <c r="R79" s="451"/>
      <c r="S79" s="451"/>
      <c r="T79" s="451"/>
      <c r="U79" s="451"/>
    </row>
    <row r="80" spans="1:47" s="430" customFormat="1" ht="15" customHeight="1" x14ac:dyDescent="0.25">
      <c r="A80" s="900" t="s">
        <v>354</v>
      </c>
      <c r="B80" s="907" t="s">
        <v>157</v>
      </c>
      <c r="C80" s="280">
        <v>90</v>
      </c>
      <c r="D80" s="280">
        <v>90</v>
      </c>
      <c r="E80" s="420">
        <v>90</v>
      </c>
      <c r="F80" s="485"/>
      <c r="G80" s="485"/>
      <c r="H80" s="485"/>
      <c r="I80" s="485"/>
      <c r="J80" s="485"/>
      <c r="K80" s="485"/>
      <c r="L80" s="485"/>
      <c r="M80" s="518"/>
      <c r="N80" s="519"/>
      <c r="O80" s="451"/>
      <c r="P80" s="424"/>
      <c r="Q80" s="512"/>
      <c r="R80" s="451"/>
      <c r="S80" s="451"/>
      <c r="T80" s="451"/>
      <c r="U80" s="451"/>
    </row>
    <row r="81" spans="1:21" s="430" customFormat="1" ht="28.2" customHeight="1" x14ac:dyDescent="0.25">
      <c r="A81" s="900" t="s">
        <v>372</v>
      </c>
      <c r="B81" s="907" t="s">
        <v>3</v>
      </c>
      <c r="C81" s="280">
        <v>2</v>
      </c>
      <c r="D81" s="280">
        <v>2</v>
      </c>
      <c r="E81" s="420">
        <v>2</v>
      </c>
      <c r="F81" s="485"/>
      <c r="G81" s="485"/>
      <c r="H81" s="485"/>
      <c r="I81" s="485"/>
      <c r="J81" s="485"/>
      <c r="K81" s="485"/>
      <c r="L81" s="485"/>
      <c r="M81" s="518"/>
      <c r="N81" s="519"/>
      <c r="O81" s="451"/>
      <c r="P81" s="424"/>
      <c r="Q81" s="512"/>
      <c r="R81" s="451"/>
      <c r="S81" s="451"/>
      <c r="T81" s="451"/>
      <c r="U81" s="451"/>
    </row>
    <row r="82" spans="1:21" s="430" customFormat="1" ht="15" customHeight="1" x14ac:dyDescent="0.25">
      <c r="A82" s="890" t="s">
        <v>402</v>
      </c>
      <c r="B82" s="907" t="s">
        <v>391</v>
      </c>
      <c r="C82" s="280">
        <v>1</v>
      </c>
      <c r="D82" s="280">
        <v>1</v>
      </c>
      <c r="E82" s="420">
        <v>1</v>
      </c>
      <c r="F82" s="485"/>
      <c r="G82" s="485"/>
      <c r="H82" s="485"/>
      <c r="I82" s="485"/>
      <c r="J82" s="485"/>
      <c r="K82" s="485"/>
      <c r="L82" s="485"/>
      <c r="M82" s="518"/>
      <c r="N82" s="519"/>
      <c r="O82" s="451"/>
      <c r="P82" s="424"/>
      <c r="Q82" s="512"/>
      <c r="R82" s="451"/>
      <c r="S82" s="451"/>
      <c r="T82" s="451"/>
      <c r="U82" s="451"/>
    </row>
    <row r="83" spans="1:21" s="430" customFormat="1" ht="15" customHeight="1" x14ac:dyDescent="0.25">
      <c r="A83" s="890" t="s">
        <v>395</v>
      </c>
      <c r="B83" s="907" t="s">
        <v>3</v>
      </c>
      <c r="C83" s="280">
        <v>1</v>
      </c>
      <c r="D83" s="280">
        <v>1</v>
      </c>
      <c r="E83" s="420">
        <v>1</v>
      </c>
      <c r="F83" s="485"/>
      <c r="G83" s="485"/>
      <c r="H83" s="485"/>
      <c r="I83" s="485"/>
      <c r="J83" s="485"/>
      <c r="K83" s="485"/>
      <c r="L83" s="485"/>
      <c r="M83" s="518"/>
      <c r="N83" s="519"/>
      <c r="O83" s="451"/>
      <c r="P83" s="424"/>
      <c r="Q83" s="512"/>
      <c r="R83" s="451"/>
      <c r="S83" s="451"/>
      <c r="T83" s="451"/>
      <c r="U83" s="451"/>
    </row>
    <row r="84" spans="1:21" s="430" customFormat="1" ht="15" customHeight="1" x14ac:dyDescent="0.25">
      <c r="A84" s="890" t="s">
        <v>347</v>
      </c>
      <c r="B84" s="907" t="s">
        <v>158</v>
      </c>
      <c r="C84" s="359">
        <v>0.1</v>
      </c>
      <c r="D84" s="359">
        <v>0.1</v>
      </c>
      <c r="E84" s="421">
        <v>0.1</v>
      </c>
      <c r="F84" s="485"/>
      <c r="G84" s="485"/>
      <c r="H84" s="485"/>
      <c r="I84" s="485"/>
      <c r="J84" s="485"/>
      <c r="K84" s="485"/>
      <c r="L84" s="485"/>
      <c r="M84" s="518"/>
      <c r="N84" s="519"/>
      <c r="O84" s="451"/>
      <c r="P84" s="424"/>
      <c r="Q84" s="512"/>
      <c r="R84" s="451"/>
      <c r="S84" s="451"/>
      <c r="T84" s="451"/>
      <c r="U84" s="451"/>
    </row>
    <row r="85" spans="1:21" s="430" customFormat="1" ht="15" customHeight="1" x14ac:dyDescent="0.25">
      <c r="A85" s="890" t="s">
        <v>348</v>
      </c>
      <c r="B85" s="907" t="s">
        <v>158</v>
      </c>
      <c r="C85" s="359">
        <v>0.1</v>
      </c>
      <c r="D85" s="359">
        <v>0.1</v>
      </c>
      <c r="E85" s="421">
        <v>0.1</v>
      </c>
      <c r="F85" s="485"/>
      <c r="G85" s="485"/>
      <c r="H85" s="485"/>
      <c r="I85" s="485"/>
      <c r="J85" s="485"/>
      <c r="K85" s="485"/>
      <c r="L85" s="485"/>
      <c r="M85" s="518"/>
      <c r="N85" s="519"/>
      <c r="O85" s="451"/>
      <c r="P85" s="424"/>
      <c r="Q85" s="512"/>
      <c r="R85" s="451"/>
      <c r="S85" s="451"/>
      <c r="T85" s="451"/>
      <c r="U85" s="451"/>
    </row>
    <row r="86" spans="1:21" s="430" customFormat="1" ht="15" customHeight="1" x14ac:dyDescent="0.25">
      <c r="A86" s="900" t="s">
        <v>357</v>
      </c>
      <c r="B86" s="907" t="s">
        <v>3</v>
      </c>
      <c r="C86" s="280">
        <v>0</v>
      </c>
      <c r="D86" s="280">
        <v>0</v>
      </c>
      <c r="E86" s="420">
        <v>0</v>
      </c>
      <c r="F86" s="485"/>
      <c r="G86" s="485"/>
      <c r="H86" s="485"/>
      <c r="I86" s="485"/>
      <c r="J86" s="485"/>
      <c r="K86" s="485"/>
      <c r="L86" s="485"/>
      <c r="M86" s="518"/>
      <c r="N86" s="519"/>
      <c r="O86" s="451"/>
      <c r="P86" s="424"/>
      <c r="Q86" s="512"/>
      <c r="R86" s="451"/>
      <c r="S86" s="451"/>
      <c r="T86" s="451"/>
      <c r="U86" s="451"/>
    </row>
    <row r="87" spans="1:21" s="430" customFormat="1" ht="15" customHeight="1" x14ac:dyDescent="0.25">
      <c r="A87" s="900" t="s">
        <v>355</v>
      </c>
      <c r="B87" s="907" t="s">
        <v>3</v>
      </c>
      <c r="C87" s="280">
        <v>0</v>
      </c>
      <c r="D87" s="280">
        <v>0</v>
      </c>
      <c r="E87" s="358">
        <v>0</v>
      </c>
      <c r="F87" s="485"/>
      <c r="G87" s="485"/>
      <c r="H87" s="485"/>
      <c r="I87" s="485"/>
      <c r="J87" s="485"/>
      <c r="K87" s="485"/>
      <c r="L87" s="485"/>
      <c r="M87" s="518"/>
      <c r="N87" s="519"/>
      <c r="O87" s="451"/>
      <c r="P87" s="424"/>
      <c r="Q87" s="512"/>
      <c r="R87" s="451"/>
      <c r="S87" s="451"/>
      <c r="T87" s="451"/>
      <c r="U87" s="451"/>
    </row>
    <row r="88" spans="1:21" s="430" customFormat="1" ht="15" customHeight="1" x14ac:dyDescent="0.25">
      <c r="A88" s="900" t="s">
        <v>356</v>
      </c>
      <c r="B88" s="907" t="s">
        <v>3</v>
      </c>
      <c r="C88" s="280">
        <v>3</v>
      </c>
      <c r="D88" s="280">
        <v>3</v>
      </c>
      <c r="E88" s="358">
        <v>3</v>
      </c>
      <c r="F88" s="485"/>
      <c r="G88" s="485"/>
      <c r="H88" s="485"/>
      <c r="I88" s="485"/>
      <c r="J88" s="485"/>
      <c r="K88" s="485"/>
      <c r="L88" s="485"/>
      <c r="M88" s="518"/>
      <c r="N88" s="519"/>
      <c r="O88" s="451"/>
      <c r="P88" s="424"/>
      <c r="Q88" s="512"/>
      <c r="R88" s="451"/>
      <c r="S88" s="451"/>
      <c r="T88" s="451"/>
      <c r="U88" s="451"/>
    </row>
    <row r="89" spans="1:21" s="430" customFormat="1" ht="42.75" customHeight="1" x14ac:dyDescent="0.25">
      <c r="A89" s="900" t="s">
        <v>375</v>
      </c>
      <c r="B89" s="907" t="s">
        <v>3</v>
      </c>
      <c r="C89" s="280">
        <v>3</v>
      </c>
      <c r="D89" s="280">
        <v>3</v>
      </c>
      <c r="E89" s="358">
        <v>3</v>
      </c>
      <c r="F89" s="485"/>
      <c r="G89" s="485"/>
      <c r="H89" s="485"/>
      <c r="I89" s="485"/>
      <c r="J89" s="485"/>
      <c r="K89" s="485"/>
      <c r="L89" s="485"/>
      <c r="M89" s="518"/>
      <c r="N89" s="519"/>
      <c r="O89" s="451"/>
      <c r="P89" s="424"/>
      <c r="Q89" s="512"/>
      <c r="R89" s="451"/>
      <c r="S89" s="451"/>
      <c r="T89" s="451"/>
      <c r="U89" s="451"/>
    </row>
    <row r="90" spans="1:21" s="430" customFormat="1" ht="15" customHeight="1" thickBot="1" x14ac:dyDescent="0.3">
      <c r="A90" s="896" t="s">
        <v>359</v>
      </c>
      <c r="B90" s="913" t="s">
        <v>3</v>
      </c>
      <c r="C90" s="540">
        <v>0</v>
      </c>
      <c r="D90" s="540">
        <v>0</v>
      </c>
      <c r="E90" s="360">
        <v>0</v>
      </c>
      <c r="F90" s="485"/>
      <c r="G90" s="485"/>
      <c r="H90" s="485"/>
      <c r="I90" s="485"/>
      <c r="J90" s="485"/>
      <c r="K90" s="485"/>
      <c r="L90" s="485"/>
      <c r="M90" s="518"/>
      <c r="N90" s="519"/>
      <c r="O90" s="451"/>
      <c r="P90" s="424"/>
      <c r="Q90" s="512"/>
      <c r="R90" s="451"/>
      <c r="S90" s="451"/>
      <c r="T90" s="451"/>
      <c r="U90" s="451"/>
    </row>
    <row r="91" spans="1:21" s="430" customFormat="1" ht="15" customHeight="1" thickBot="1" x14ac:dyDescent="0.3">
      <c r="A91" s="229" t="s">
        <v>292</v>
      </c>
      <c r="B91" s="918"/>
      <c r="C91" s="878"/>
      <c r="D91" s="541"/>
      <c r="E91" s="390"/>
      <c r="F91" s="485"/>
      <c r="G91" s="485"/>
      <c r="H91" s="485"/>
      <c r="I91" s="485"/>
      <c r="J91" s="485"/>
      <c r="K91" s="485"/>
      <c r="L91" s="485"/>
      <c r="M91" s="518"/>
      <c r="N91" s="519"/>
      <c r="O91" s="451"/>
      <c r="P91" s="424"/>
      <c r="Q91" s="512"/>
      <c r="R91" s="451"/>
      <c r="S91" s="451"/>
      <c r="T91" s="451"/>
      <c r="U91" s="451"/>
    </row>
    <row r="92" spans="1:21" s="430" customFormat="1" ht="15" customHeight="1" x14ac:dyDescent="0.25">
      <c r="A92" s="890" t="s">
        <v>284</v>
      </c>
      <c r="B92" s="907" t="s">
        <v>7</v>
      </c>
      <c r="C92" s="980">
        <v>77.5</v>
      </c>
      <c r="D92" s="981">
        <v>77.5</v>
      </c>
      <c r="E92" s="982">
        <v>77.5</v>
      </c>
      <c r="F92" s="485"/>
      <c r="G92" s="485"/>
      <c r="H92" s="485"/>
      <c r="I92" s="485"/>
      <c r="J92" s="485"/>
      <c r="K92" s="485"/>
      <c r="L92" s="485"/>
      <c r="M92" s="518"/>
      <c r="N92" s="519"/>
      <c r="O92" s="451"/>
      <c r="P92" s="424"/>
      <c r="Q92" s="512"/>
      <c r="R92" s="451"/>
      <c r="S92" s="451"/>
      <c r="T92" s="451"/>
      <c r="U92" s="451"/>
    </row>
    <row r="93" spans="1:21" s="430" customFormat="1" ht="15" customHeight="1" x14ac:dyDescent="0.25">
      <c r="A93" s="890" t="s">
        <v>285</v>
      </c>
      <c r="B93" s="907" t="s">
        <v>2</v>
      </c>
      <c r="C93" s="873">
        <f>IF(C15&lt;10000,C15/10+C15*0.9*C92/100,C15/20+C15*0.95*C92/100)</f>
        <v>1435.5</v>
      </c>
      <c r="D93" s="226">
        <f>IF(D15&lt;10000,D15/10+D15*0.9*D92/100,D15/20+D15*0.95*D92/100)</f>
        <v>1435.5</v>
      </c>
      <c r="E93" s="438">
        <f>IF(E15&lt;10000,E15/10+E15*0.9*E92/100,E15/20+E15*0.95*E92/100)</f>
        <v>1435.5</v>
      </c>
      <c r="F93" s="485"/>
      <c r="G93" s="485"/>
      <c r="H93" s="485"/>
      <c r="I93" s="485"/>
      <c r="J93" s="485"/>
      <c r="K93" s="485"/>
      <c r="L93" s="485"/>
      <c r="M93" s="518"/>
      <c r="N93" s="519"/>
      <c r="O93" s="451"/>
      <c r="P93" s="424"/>
      <c r="Q93" s="512"/>
      <c r="R93" s="451"/>
      <c r="S93" s="451"/>
      <c r="T93" s="451"/>
      <c r="U93" s="451"/>
    </row>
    <row r="94" spans="1:21" s="430" customFormat="1" ht="15" customHeight="1" x14ac:dyDescent="0.25">
      <c r="A94" s="890" t="s">
        <v>286</v>
      </c>
      <c r="B94" s="907" t="s">
        <v>2</v>
      </c>
      <c r="C94" s="873">
        <f>C93+C19</f>
        <v>2456.4727921305375</v>
      </c>
      <c r="D94" s="226">
        <f>D93+D19</f>
        <v>2456.4727921305375</v>
      </c>
      <c r="E94" s="438">
        <f>E93+E19</f>
        <v>2456.4727921305375</v>
      </c>
      <c r="F94" s="485"/>
      <c r="G94" s="485"/>
      <c r="H94" s="485"/>
      <c r="I94" s="485"/>
      <c r="J94" s="485"/>
      <c r="K94" s="485"/>
      <c r="L94" s="485"/>
      <c r="M94" s="517"/>
      <c r="N94" s="519"/>
      <c r="O94" s="451"/>
      <c r="P94" s="424"/>
      <c r="Q94" s="512"/>
      <c r="R94" s="451"/>
      <c r="S94" s="451"/>
      <c r="T94" s="451"/>
      <c r="U94" s="451"/>
    </row>
    <row r="95" spans="1:21" s="430" customFormat="1" ht="15" customHeight="1" x14ac:dyDescent="0.25">
      <c r="A95" s="890" t="s">
        <v>299</v>
      </c>
      <c r="B95" s="907" t="s">
        <v>1</v>
      </c>
      <c r="C95" s="769">
        <f>C12-(C21-C94)/C5/C7/1.025/(C32-0.04*(1-C94/C21))</f>
        <v>3.7282593146415111</v>
      </c>
      <c r="D95" s="227">
        <f>D12-(D21-D94)/D5/D7/1.025/(D32-0.04*(1-D94/D21))</f>
        <v>3.7282593146415111</v>
      </c>
      <c r="E95" s="432">
        <f>E12-(E21-E94)/E5/E7/1.025/(E32-0.04*(1-E94/E21))</f>
        <v>3.7282593146415111</v>
      </c>
      <c r="F95" s="485"/>
      <c r="G95" s="485"/>
      <c r="H95" s="485"/>
      <c r="I95" s="485"/>
      <c r="J95" s="485"/>
      <c r="K95" s="485"/>
      <c r="L95" s="485"/>
      <c r="M95" s="517"/>
      <c r="N95" s="519"/>
      <c r="O95" s="451"/>
      <c r="P95" s="424"/>
      <c r="Q95" s="512"/>
      <c r="R95" s="451"/>
      <c r="S95" s="451"/>
      <c r="T95" s="451"/>
      <c r="U95" s="451"/>
    </row>
    <row r="96" spans="1:21" s="430" customFormat="1" ht="15" customHeight="1" x14ac:dyDescent="0.25">
      <c r="A96" s="890" t="s">
        <v>353</v>
      </c>
      <c r="B96" s="907" t="s">
        <v>1</v>
      </c>
      <c r="C96" s="769">
        <f>2+0.02*0.96*C5</f>
        <v>3.3062243339264743</v>
      </c>
      <c r="D96" s="227">
        <f>2+0.02*0.96*D5</f>
        <v>3.3062243339264743</v>
      </c>
      <c r="E96" s="432">
        <f>2+0.02*0.96*E5</f>
        <v>3.3062243339264743</v>
      </c>
      <c r="F96" s="485"/>
      <c r="G96" s="485"/>
      <c r="H96" s="485"/>
      <c r="I96" s="485"/>
      <c r="J96" s="485"/>
      <c r="K96" s="485"/>
      <c r="L96" s="485"/>
      <c r="M96" s="517"/>
      <c r="N96" s="519"/>
      <c r="O96" s="451"/>
      <c r="P96" s="424"/>
      <c r="Q96" s="512"/>
      <c r="R96" s="451"/>
      <c r="S96" s="451"/>
      <c r="T96" s="451"/>
      <c r="U96" s="451"/>
    </row>
    <row r="97" spans="1:21" s="430" customFormat="1" ht="15" customHeight="1" x14ac:dyDescent="0.25">
      <c r="A97" s="890" t="s">
        <v>287</v>
      </c>
      <c r="B97" s="907" t="s">
        <v>3</v>
      </c>
      <c r="C97" s="879">
        <f>C94/C5/C7/C95/1.025</f>
        <v>0.78099921543501383</v>
      </c>
      <c r="D97" s="228">
        <f>D94/D5/D7/D95/1.025</f>
        <v>0.78099921543501383</v>
      </c>
      <c r="E97" s="439">
        <f>E94/E5/E7/E95/1.025</f>
        <v>0.78099921543501383</v>
      </c>
      <c r="F97" s="485"/>
      <c r="G97" s="485"/>
      <c r="H97" s="485"/>
      <c r="I97" s="485"/>
      <c r="J97" s="485"/>
      <c r="K97" s="485"/>
      <c r="L97" s="485"/>
      <c r="M97" s="518"/>
      <c r="N97" s="519"/>
      <c r="O97" s="451"/>
      <c r="P97" s="424"/>
      <c r="Q97" s="512"/>
      <c r="R97" s="451"/>
      <c r="S97" s="451"/>
      <c r="T97" s="451"/>
      <c r="U97" s="451"/>
    </row>
    <row r="98" spans="1:21" s="430" customFormat="1" ht="15" customHeight="1" x14ac:dyDescent="0.25">
      <c r="A98" s="897" t="s">
        <v>430</v>
      </c>
      <c r="B98" s="914" t="s">
        <v>3</v>
      </c>
      <c r="C98" s="879">
        <f>1-C12/C95*(1-C29)</f>
        <v>0.99397856072700974</v>
      </c>
      <c r="D98" s="228">
        <f>1-D12/D95*(1-D29)</f>
        <v>0.99397856072700974</v>
      </c>
      <c r="E98" s="439">
        <f>1-E12/E95*(1-E29)</f>
        <v>0.99397856072700974</v>
      </c>
      <c r="F98" s="485"/>
      <c r="G98" s="485"/>
      <c r="H98" s="485"/>
      <c r="I98" s="485"/>
      <c r="J98" s="485"/>
      <c r="K98" s="485"/>
      <c r="L98" s="485"/>
      <c r="M98" s="518"/>
      <c r="N98" s="519"/>
      <c r="O98" s="451"/>
      <c r="P98" s="424"/>
      <c r="Q98" s="512"/>
      <c r="R98" s="451"/>
      <c r="S98" s="451"/>
      <c r="T98" s="451"/>
      <c r="U98" s="451"/>
    </row>
    <row r="99" spans="1:21" s="430" customFormat="1" ht="15" customHeight="1" x14ac:dyDescent="0.25">
      <c r="A99" s="890" t="s">
        <v>288</v>
      </c>
      <c r="B99" s="907" t="s">
        <v>6</v>
      </c>
      <c r="C99" s="880">
        <v>8.6999999999999993</v>
      </c>
      <c r="D99" s="521">
        <f>C99</f>
        <v>8.6999999999999993</v>
      </c>
      <c r="E99" s="522">
        <f>C99</f>
        <v>8.6999999999999993</v>
      </c>
      <c r="F99" s="485"/>
      <c r="G99" s="485"/>
      <c r="H99" s="485"/>
      <c r="I99" s="485"/>
      <c r="J99" s="485"/>
      <c r="K99" s="485"/>
      <c r="L99" s="485"/>
      <c r="M99" s="518"/>
      <c r="N99" s="519"/>
      <c r="O99" s="451"/>
      <c r="P99" s="424"/>
      <c r="Q99" s="512"/>
      <c r="R99" s="451"/>
      <c r="S99" s="451"/>
      <c r="T99" s="451"/>
      <c r="U99" s="451"/>
    </row>
    <row r="100" spans="1:21" s="430" customFormat="1" ht="15" customHeight="1" x14ac:dyDescent="0.25">
      <c r="A100" s="890" t="s">
        <v>275</v>
      </c>
      <c r="B100" s="907" t="s">
        <v>158</v>
      </c>
      <c r="C100" s="881">
        <v>20</v>
      </c>
      <c r="D100" s="799">
        <v>0</v>
      </c>
      <c r="E100" s="800">
        <v>15</v>
      </c>
      <c r="F100" s="485"/>
      <c r="G100" s="485"/>
      <c r="H100" s="485"/>
      <c r="I100" s="485"/>
      <c r="J100" s="485"/>
      <c r="K100" s="485"/>
      <c r="L100" s="485"/>
      <c r="M100" s="518"/>
      <c r="N100" s="519"/>
      <c r="O100" s="451"/>
      <c r="P100" s="424"/>
      <c r="Q100" s="512"/>
      <c r="R100" s="451"/>
      <c r="S100" s="451"/>
      <c r="T100" s="451"/>
      <c r="U100" s="451"/>
    </row>
    <row r="101" spans="1:21" s="430" customFormat="1" ht="15" customHeight="1" x14ac:dyDescent="0.25">
      <c r="A101" s="901" t="s">
        <v>295</v>
      </c>
      <c r="B101" s="919" t="s">
        <v>3</v>
      </c>
      <c r="C101" s="882">
        <v>0</v>
      </c>
      <c r="D101" s="798">
        <v>4</v>
      </c>
      <c r="E101" s="801">
        <v>0</v>
      </c>
      <c r="F101" s="485"/>
      <c r="G101" s="485"/>
      <c r="H101" s="485"/>
      <c r="I101" s="485"/>
      <c r="J101" s="485"/>
      <c r="K101" s="485"/>
      <c r="L101" s="485"/>
      <c r="M101" s="518"/>
      <c r="N101" s="519"/>
      <c r="O101" s="451"/>
      <c r="P101" s="424"/>
      <c r="Q101" s="512"/>
      <c r="R101" s="451"/>
      <c r="S101" s="451"/>
      <c r="T101" s="451"/>
      <c r="U101" s="451"/>
    </row>
    <row r="102" spans="1:21" s="430" customFormat="1" ht="15" customHeight="1" x14ac:dyDescent="0.25">
      <c r="A102" s="890" t="s">
        <v>452</v>
      </c>
      <c r="B102" s="907" t="s">
        <v>296</v>
      </c>
      <c r="C102" s="883">
        <f>IF(C101=0,0,MAX(0,0.18+0.464*C101+0.4034113*C101^2-0.0285278*C101^3+0.00097424*C101^4))</f>
        <v>0</v>
      </c>
      <c r="D102" s="523">
        <f>IF(D101=0,0,MAX(0,0.18+0.464*D101+0.4034113*D101^2-0.0285278*D101^3+0.00097424*D101^4))</f>
        <v>6.9142070400000009</v>
      </c>
      <c r="E102" s="524">
        <f>IF(E101=0,0,MAX(0,0.18+0.464*E101+0.4034113*E101^2-0.0285278*E101^3+0.00097424*E101^4))</f>
        <v>0</v>
      </c>
      <c r="F102" s="485"/>
      <c r="G102" s="485"/>
      <c r="H102" s="485"/>
      <c r="I102" s="485"/>
      <c r="J102" s="485"/>
      <c r="K102" s="485"/>
      <c r="L102" s="485"/>
      <c r="M102" s="518"/>
      <c r="N102" s="519"/>
      <c r="O102" s="451"/>
      <c r="P102" s="424"/>
      <c r="Q102" s="512"/>
      <c r="R102" s="451"/>
      <c r="S102" s="451"/>
      <c r="T102" s="451"/>
      <c r="U102" s="451"/>
    </row>
    <row r="103" spans="1:21" s="430" customFormat="1" ht="15" customHeight="1" x14ac:dyDescent="0.25">
      <c r="A103" s="895" t="s">
        <v>425</v>
      </c>
      <c r="B103" s="912" t="s">
        <v>1</v>
      </c>
      <c r="C103" s="776">
        <f>MAX(0,0.01666667*C101^3-0.23571429*C101^2+1.8333*C101-3.6)</f>
        <v>0</v>
      </c>
      <c r="D103" s="456">
        <f>MAX(0,0.01666667*D101^3-0.23571429*D101^2+1.8333*D101-3.6)</f>
        <v>1.0284382399999994</v>
      </c>
      <c r="E103" s="418">
        <f>MAX(0,0.01666667*E101^3-0.23571429*E101^2+1.8333*E101-3.6)</f>
        <v>0</v>
      </c>
      <c r="F103" s="485"/>
      <c r="G103" s="485"/>
      <c r="H103" s="485"/>
      <c r="I103" s="485"/>
      <c r="J103" s="485"/>
      <c r="K103" s="485"/>
      <c r="L103" s="485"/>
      <c r="M103" s="518"/>
      <c r="N103" s="519"/>
      <c r="O103" s="451"/>
      <c r="P103" s="424"/>
      <c r="Q103" s="512"/>
      <c r="R103" s="451"/>
      <c r="S103" s="451"/>
      <c r="T103" s="451"/>
      <c r="U103" s="451"/>
    </row>
    <row r="104" spans="1:21" s="430" customFormat="1" ht="15" customHeight="1" x14ac:dyDescent="0.25">
      <c r="A104" s="890" t="s">
        <v>495</v>
      </c>
      <c r="B104" s="907" t="s">
        <v>297</v>
      </c>
      <c r="C104" s="224">
        <f>C41+C7*(C12-C95)</f>
        <v>166.82809134163446</v>
      </c>
      <c r="D104" s="224">
        <f>D41+D7*(D12-D95)</f>
        <v>166.82809134163446</v>
      </c>
      <c r="E104" s="225">
        <f>E41+E7*(E12-E95)</f>
        <v>166.82809134163446</v>
      </c>
      <c r="F104" s="485"/>
      <c r="G104" s="485"/>
      <c r="H104" s="485"/>
      <c r="I104" s="485"/>
      <c r="J104" s="485"/>
      <c r="K104" s="485"/>
      <c r="L104" s="485"/>
      <c r="M104" s="518"/>
      <c r="N104" s="519"/>
      <c r="O104" s="451"/>
      <c r="P104" s="424"/>
      <c r="Q104" s="512"/>
      <c r="R104" s="451"/>
      <c r="S104" s="451"/>
      <c r="T104" s="451"/>
      <c r="U104" s="451"/>
    </row>
    <row r="105" spans="1:21" s="430" customFormat="1" ht="15" customHeight="1" x14ac:dyDescent="0.25">
      <c r="A105" s="895" t="s">
        <v>444</v>
      </c>
      <c r="B105" s="912" t="s">
        <v>426</v>
      </c>
      <c r="C105" s="773">
        <f>1336*(5.3+C99*0.5144)*(C7*C95/C5)^0.75*C103^2/1000</f>
        <v>0</v>
      </c>
      <c r="D105" s="224">
        <f>1336*(5.3+D99*0.5144)*(D7*D95/D5)^0.75*D103^2/1000</f>
        <v>10.14893349248255</v>
      </c>
      <c r="E105" s="225">
        <f>1336*(5.3+E99*0.5144)*(E7*E95/E5)^0.75*E103^2/1000</f>
        <v>0</v>
      </c>
      <c r="F105" s="485"/>
      <c r="G105" s="485"/>
      <c r="H105" s="485"/>
      <c r="I105" s="485"/>
      <c r="J105" s="485"/>
      <c r="K105" s="485"/>
      <c r="L105" s="485"/>
      <c r="M105" s="518"/>
      <c r="N105" s="519"/>
      <c r="O105" s="451"/>
      <c r="P105" s="424"/>
      <c r="Q105" s="512"/>
      <c r="R105" s="451"/>
      <c r="S105" s="451"/>
      <c r="T105" s="451"/>
      <c r="U105" s="451"/>
    </row>
    <row r="106" spans="1:21" s="430" customFormat="1" ht="15" customHeight="1" x14ac:dyDescent="0.25">
      <c r="A106" s="890" t="s">
        <v>453</v>
      </c>
      <c r="B106" s="907" t="s">
        <v>158</v>
      </c>
      <c r="C106" s="776">
        <f>'PAS1'!K34</f>
        <v>0</v>
      </c>
      <c r="D106" s="456">
        <f>'PAS2'!K34</f>
        <v>57.491913124161663</v>
      </c>
      <c r="E106" s="418">
        <f>'PAS3'!K34</f>
        <v>0</v>
      </c>
      <c r="F106" s="485"/>
      <c r="G106" s="485"/>
      <c r="H106" s="485"/>
      <c r="I106" s="485"/>
      <c r="J106" s="485"/>
      <c r="K106" s="485"/>
      <c r="L106" s="485"/>
      <c r="M106" s="518"/>
      <c r="N106" s="519"/>
      <c r="O106" s="451"/>
      <c r="P106" s="424"/>
      <c r="Q106" s="512"/>
      <c r="R106" s="451"/>
      <c r="S106" s="451"/>
      <c r="T106" s="451"/>
      <c r="U106" s="451"/>
    </row>
    <row r="107" spans="1:21" s="430" customFormat="1" ht="15" customHeight="1" x14ac:dyDescent="0.25">
      <c r="A107" s="890" t="s">
        <v>289</v>
      </c>
      <c r="B107" s="907" t="s">
        <v>3</v>
      </c>
      <c r="C107" s="884">
        <f>'PAS1'!K21/'PAS1'!K38*('PAS1'!L38-'PAS1'!J38)/('PAS1'!L21-'PAS1'!J21)</f>
        <v>3.4920174978213629</v>
      </c>
      <c r="D107" s="542">
        <f>'PAS2'!K21/'PAS2'!K38*('PAS2'!L38-'PAS2'!J38)/('PAS2'!L21-'PAS2'!J21)</f>
        <v>2.6530864803484193</v>
      </c>
      <c r="E107" s="459">
        <f>'PAS3'!K21/'PAS3'!K38*('PAS3'!L38-'PAS3'!J38)/('PAS3'!L21-'PAS3'!J21)</f>
        <v>3.4899789822413791</v>
      </c>
      <c r="F107" s="525"/>
      <c r="G107" s="526"/>
      <c r="H107" s="525"/>
      <c r="I107" s="485"/>
      <c r="J107" s="485"/>
      <c r="K107" s="485"/>
      <c r="L107" s="485"/>
      <c r="M107" s="518"/>
      <c r="N107" s="519"/>
      <c r="O107" s="527"/>
      <c r="P107" s="528"/>
      <c r="Q107" s="529"/>
      <c r="R107" s="527"/>
      <c r="S107" s="451"/>
      <c r="T107" s="451"/>
      <c r="U107" s="451"/>
    </row>
    <row r="108" spans="1:21" s="430" customFormat="1" ht="15" customHeight="1" x14ac:dyDescent="0.25">
      <c r="A108" s="895" t="s">
        <v>290</v>
      </c>
      <c r="B108" s="907" t="s">
        <v>156</v>
      </c>
      <c r="C108" s="873">
        <f>'PAS1'!K38</f>
        <v>287.94115078095012</v>
      </c>
      <c r="D108" s="226">
        <f>'PAS2'!K38</f>
        <v>400.21600486923552</v>
      </c>
      <c r="E108" s="438">
        <f>'PAS3'!K38</f>
        <v>273.69653986109182</v>
      </c>
      <c r="F108" s="530"/>
      <c r="G108" s="530"/>
      <c r="H108" s="530"/>
      <c r="I108" s="530"/>
      <c r="J108" s="530"/>
      <c r="K108" s="530"/>
      <c r="L108" s="530"/>
      <c r="M108" s="530"/>
      <c r="N108" s="530"/>
      <c r="O108" s="531"/>
      <c r="P108" s="528"/>
      <c r="Q108" s="529"/>
      <c r="R108" s="527"/>
      <c r="S108" s="451"/>
      <c r="T108" s="451"/>
      <c r="U108" s="451"/>
    </row>
    <row r="109" spans="1:21" s="430" customFormat="1" ht="15" customHeight="1" x14ac:dyDescent="0.25">
      <c r="A109" s="895" t="s">
        <v>291</v>
      </c>
      <c r="B109" s="907" t="s">
        <v>160</v>
      </c>
      <c r="C109" s="873">
        <f>C108/C53*100</f>
        <v>10.312227070981091</v>
      </c>
      <c r="D109" s="226">
        <f>D108/D53*100</f>
        <v>14.333200754594873</v>
      </c>
      <c r="E109" s="438">
        <f>E108/E53*100</f>
        <v>9.802075389135851</v>
      </c>
      <c r="F109" s="532"/>
      <c r="G109" s="532"/>
      <c r="H109" s="532"/>
      <c r="I109" s="532"/>
      <c r="J109" s="532"/>
      <c r="K109" s="532"/>
      <c r="L109" s="532"/>
      <c r="M109" s="532"/>
      <c r="N109" s="532"/>
      <c r="O109" s="533"/>
      <c r="P109" s="528"/>
      <c r="Q109" s="529"/>
      <c r="R109" s="527"/>
      <c r="S109" s="451"/>
      <c r="T109" s="451"/>
      <c r="U109" s="451"/>
    </row>
    <row r="110" spans="1:21" s="430" customFormat="1" ht="15" customHeight="1" x14ac:dyDescent="0.25">
      <c r="A110" s="902" t="s">
        <v>399</v>
      </c>
      <c r="B110" s="914" t="s">
        <v>391</v>
      </c>
      <c r="C110" s="885">
        <f>'Emission factors'!B13*IF(C83=1,100+0.0028*C109^2-0.41*C109+15,100+0.0000000020194*C109^6-0.0000007555*C109^5+0.00011181*C109^4-0.00832*C109^3+0.33*C109^2-6.851*C109+62.9)*10</f>
        <v>211.03251469621546</v>
      </c>
      <c r="D110" s="534">
        <f>'Emission factors'!D13*IF(D83=1,100+0.0028*D109^2-0.41*D109+15,100+0.0000000020194*D109^6-0.0000007555*D109^5+0.00011181*D109^4-0.00832*D109^3+0.33*D109^2-6.851*D109+62.9)*10</f>
        <v>208.42738083756711</v>
      </c>
      <c r="E110" s="535">
        <f>'Emission factors'!F13*IF(E83=1,100+0.0028*E109^2-0.41*E109+15,100+0.0000000020194*E109^6-0.0000007555*E109^5+0.00011181*E109^4-0.00832*E109^3+0.33*E109^2-6.851*E109+62.9)*10</f>
        <v>211.37533249975365</v>
      </c>
      <c r="F110" s="532"/>
      <c r="G110" s="532"/>
      <c r="H110" s="532"/>
      <c r="I110" s="532"/>
      <c r="J110" s="532"/>
      <c r="K110" s="532"/>
      <c r="L110" s="532"/>
      <c r="M110" s="532"/>
      <c r="N110" s="532"/>
      <c r="O110" s="533"/>
      <c r="P110" s="528"/>
      <c r="Q110" s="529"/>
      <c r="R110" s="527"/>
      <c r="S110" s="451"/>
      <c r="T110" s="451"/>
      <c r="U110" s="451"/>
    </row>
    <row r="111" spans="1:21" s="430" customFormat="1" ht="15" customHeight="1" x14ac:dyDescent="0.25">
      <c r="A111" s="895" t="s">
        <v>350</v>
      </c>
      <c r="B111" s="907" t="s">
        <v>161</v>
      </c>
      <c r="C111" s="879">
        <f>C64*'Emission factors'!C13/1000</f>
        <v>2.6526189867527625E-2</v>
      </c>
      <c r="D111" s="228">
        <f>D64*'Emission factors'!E13/1000</f>
        <v>2.6526189867527625E-2</v>
      </c>
      <c r="E111" s="439">
        <f>E64*'Emission factors'!G13/1000</f>
        <v>2.6526189867527625E-2</v>
      </c>
      <c r="F111" s="536"/>
      <c r="G111" s="536"/>
      <c r="H111" s="536"/>
      <c r="I111" s="536"/>
      <c r="J111" s="536"/>
      <c r="K111" s="536"/>
      <c r="L111" s="536"/>
      <c r="M111" s="536"/>
      <c r="N111" s="536"/>
      <c r="O111" s="537"/>
      <c r="P111" s="528"/>
      <c r="Q111" s="529"/>
      <c r="R111" s="527"/>
      <c r="S111" s="451"/>
      <c r="T111" s="451"/>
      <c r="U111" s="451"/>
    </row>
    <row r="112" spans="1:21" s="430" customFormat="1" ht="15" customHeight="1" x14ac:dyDescent="0.25">
      <c r="A112" s="895" t="s">
        <v>411</v>
      </c>
      <c r="B112" s="907" t="s">
        <v>161</v>
      </c>
      <c r="C112" s="879">
        <f>C67*'Emission factors'!C13/1000</f>
        <v>6.1214647193279355E-2</v>
      </c>
      <c r="D112" s="228">
        <f>D67*'Emission factors'!E13/1000</f>
        <v>6.1214647193279355E-2</v>
      </c>
      <c r="E112" s="439">
        <f>E67*'Emission factors'!G13/1000</f>
        <v>6.1214647193279355E-2</v>
      </c>
      <c r="F112" s="536"/>
      <c r="G112" s="536"/>
      <c r="H112" s="536"/>
      <c r="I112" s="536"/>
      <c r="J112" s="536"/>
      <c r="K112" s="536"/>
      <c r="L112" s="536"/>
      <c r="M112" s="536"/>
      <c r="N112" s="536"/>
      <c r="O112" s="537"/>
      <c r="P112" s="528"/>
      <c r="Q112" s="529"/>
      <c r="R112" s="527"/>
      <c r="S112" s="451"/>
      <c r="T112" s="451"/>
      <c r="U112" s="451"/>
    </row>
    <row r="113" spans="1:21" s="430" customFormat="1" ht="15" customHeight="1" x14ac:dyDescent="0.25">
      <c r="A113" s="895" t="s">
        <v>351</v>
      </c>
      <c r="B113" s="907" t="s">
        <v>161</v>
      </c>
      <c r="C113" s="879">
        <f>C108*C110/1000000</f>
        <v>6.0764945133826048E-2</v>
      </c>
      <c r="D113" s="228">
        <f>D108*D110/1000000</f>
        <v>8.3415973664169765E-2</v>
      </c>
      <c r="E113" s="439">
        <f>E108*E110/1000000</f>
        <v>5.7852697117170365E-2</v>
      </c>
      <c r="F113" s="536"/>
      <c r="G113" s="536"/>
      <c r="H113" s="536"/>
      <c r="I113" s="536"/>
      <c r="J113" s="536"/>
      <c r="K113" s="536"/>
      <c r="L113" s="536"/>
      <c r="M113" s="536"/>
      <c r="N113" s="536"/>
      <c r="O113" s="537"/>
      <c r="P113" s="528"/>
      <c r="Q113" s="529"/>
      <c r="R113" s="527"/>
      <c r="S113" s="451"/>
      <c r="T113" s="451"/>
      <c r="U113" s="451"/>
    </row>
    <row r="114" spans="1:21" s="430" customFormat="1" ht="15" customHeight="1" thickBot="1" x14ac:dyDescent="0.3">
      <c r="A114" s="903" t="s">
        <v>414</v>
      </c>
      <c r="B114" s="913" t="s">
        <v>161</v>
      </c>
      <c r="C114" s="886">
        <f>C111+C113</f>
        <v>8.7291135001353673E-2</v>
      </c>
      <c r="D114" s="338">
        <f>D111+D113</f>
        <v>0.10994216353169739</v>
      </c>
      <c r="E114" s="440">
        <f>E111+E113</f>
        <v>8.437888698469799E-2</v>
      </c>
      <c r="F114" s="536"/>
      <c r="G114" s="536"/>
      <c r="H114" s="536"/>
      <c r="I114" s="536"/>
      <c r="J114" s="536"/>
      <c r="K114" s="536"/>
      <c r="L114" s="536"/>
      <c r="M114" s="536"/>
      <c r="N114" s="536"/>
      <c r="O114" s="537"/>
      <c r="P114" s="528"/>
      <c r="Q114" s="529"/>
      <c r="R114" s="527"/>
      <c r="S114" s="451"/>
      <c r="T114" s="451"/>
      <c r="U114" s="451"/>
    </row>
    <row r="115" spans="1:21" ht="15" customHeight="1" x14ac:dyDescent="0.25">
      <c r="A115" s="218"/>
      <c r="B115" s="219"/>
      <c r="C115" s="219"/>
      <c r="D115" s="219"/>
      <c r="E115" s="417"/>
      <c r="F115" s="372"/>
      <c r="G115" s="372"/>
      <c r="H115" s="372"/>
      <c r="I115" s="372"/>
      <c r="J115" s="372"/>
      <c r="K115" s="372"/>
      <c r="L115" s="372"/>
      <c r="M115" s="372"/>
      <c r="N115" s="372"/>
      <c r="O115" s="373"/>
      <c r="P115" s="371"/>
      <c r="Q115" s="422"/>
      <c r="R115" s="370"/>
    </row>
    <row r="116" spans="1:21" ht="15" customHeight="1" x14ac:dyDescent="0.25">
      <c r="M116" s="368"/>
      <c r="N116" s="369"/>
      <c r="P116" s="220"/>
      <c r="Q116" s="366"/>
    </row>
    <row r="117" spans="1:21" ht="15" customHeight="1" x14ac:dyDescent="0.25">
      <c r="E117" s="417"/>
      <c r="M117" s="368"/>
      <c r="N117" s="369"/>
      <c r="P117" s="220"/>
      <c r="Q117" s="366"/>
    </row>
    <row r="118" spans="1:21" ht="15" customHeight="1" x14ac:dyDescent="0.25">
      <c r="M118" s="368"/>
      <c r="N118" s="369"/>
      <c r="P118" s="220"/>
      <c r="Q118" s="366"/>
    </row>
    <row r="119" spans="1:21" ht="15" customHeight="1" x14ac:dyDescent="0.25">
      <c r="M119" s="368"/>
      <c r="N119" s="369"/>
      <c r="P119" s="220"/>
      <c r="Q119" s="366"/>
    </row>
    <row r="120" spans="1:21" ht="15" customHeight="1" x14ac:dyDescent="0.25">
      <c r="M120" s="368"/>
      <c r="N120" s="369"/>
      <c r="P120" s="220"/>
      <c r="Q120" s="366"/>
    </row>
    <row r="121" spans="1:21" ht="15" customHeight="1" x14ac:dyDescent="0.25">
      <c r="M121" s="368"/>
      <c r="N121" s="369"/>
      <c r="P121" s="220"/>
      <c r="Q121" s="366"/>
    </row>
    <row r="122" spans="1:21" ht="15" customHeight="1" x14ac:dyDescent="0.25">
      <c r="M122" s="368"/>
      <c r="N122" s="369"/>
      <c r="P122" s="220"/>
      <c r="Q122" s="366"/>
    </row>
    <row r="123" spans="1:21" ht="15" customHeight="1" x14ac:dyDescent="0.25">
      <c r="M123" s="368"/>
      <c r="N123" s="369"/>
      <c r="P123" s="220"/>
      <c r="Q123" s="366"/>
    </row>
    <row r="124" spans="1:21" ht="15" customHeight="1" x14ac:dyDescent="0.25">
      <c r="M124" s="368"/>
      <c r="N124" s="369"/>
      <c r="P124" s="220"/>
      <c r="Q124" s="366"/>
    </row>
    <row r="125" spans="1:21" ht="15" customHeight="1" x14ac:dyDescent="0.25">
      <c r="M125" s="367"/>
      <c r="N125" s="369"/>
      <c r="P125" s="220"/>
      <c r="Q125" s="366"/>
    </row>
    <row r="126" spans="1:21" ht="15" customHeight="1" x14ac:dyDescent="0.25">
      <c r="M126" s="367"/>
      <c r="N126" s="369"/>
      <c r="P126" s="220"/>
      <c r="Q126" s="366"/>
    </row>
    <row r="127" spans="1:21" ht="15" customHeight="1" x14ac:dyDescent="0.25">
      <c r="M127" s="368"/>
      <c r="N127" s="369"/>
      <c r="P127" s="220"/>
      <c r="Q127" s="366"/>
    </row>
    <row r="128" spans="1:21" ht="15" customHeight="1" x14ac:dyDescent="0.25">
      <c r="P128" s="220"/>
      <c r="Q128" s="366"/>
    </row>
    <row r="129" spans="1:17" ht="15" customHeight="1" x14ac:dyDescent="0.25">
      <c r="A129" s="482" t="s">
        <v>386</v>
      </c>
      <c r="P129" s="220"/>
      <c r="Q129" s="366"/>
    </row>
    <row r="130" spans="1:17" ht="15" customHeight="1" x14ac:dyDescent="0.25">
      <c r="A130" s="483" t="s">
        <v>403</v>
      </c>
      <c r="P130" s="220"/>
      <c r="Q130" s="366"/>
    </row>
    <row r="131" spans="1:17" ht="15" customHeight="1" x14ac:dyDescent="0.25">
      <c r="A131" s="482" t="s">
        <v>404</v>
      </c>
      <c r="P131" s="220"/>
      <c r="Q131" s="366"/>
    </row>
    <row r="132" spans="1:17" ht="15" customHeight="1" x14ac:dyDescent="0.25">
      <c r="A132" s="482" t="s">
        <v>387</v>
      </c>
      <c r="P132" s="220"/>
      <c r="Q132" s="366"/>
    </row>
    <row r="133" spans="1:17" ht="15" customHeight="1" x14ac:dyDescent="0.25">
      <c r="A133" s="482" t="s">
        <v>388</v>
      </c>
      <c r="P133" s="220"/>
      <c r="Q133" s="366"/>
    </row>
    <row r="134" spans="1:17" ht="15" customHeight="1" x14ac:dyDescent="0.25">
      <c r="A134" s="482" t="s">
        <v>400</v>
      </c>
      <c r="P134" s="220"/>
      <c r="Q134" s="366"/>
    </row>
    <row r="135" spans="1:17" ht="15" customHeight="1" x14ac:dyDescent="0.25">
      <c r="A135" s="482" t="s">
        <v>401</v>
      </c>
      <c r="P135" s="220"/>
      <c r="Q135" s="366"/>
    </row>
    <row r="136" spans="1:17" ht="15" customHeight="1" x14ac:dyDescent="0.25">
      <c r="A136" s="482" t="s">
        <v>405</v>
      </c>
      <c r="P136" s="220"/>
      <c r="Q136" s="366"/>
    </row>
    <row r="137" spans="1:17" ht="15" customHeight="1" x14ac:dyDescent="0.25">
      <c r="A137" s="482" t="s">
        <v>409</v>
      </c>
      <c r="P137" s="220"/>
      <c r="Q137" s="366"/>
    </row>
    <row r="138" spans="1:17" ht="15" customHeight="1" x14ac:dyDescent="0.25">
      <c r="A138" s="482" t="s">
        <v>415</v>
      </c>
      <c r="P138" s="220"/>
      <c r="Q138" s="366"/>
    </row>
    <row r="139" spans="1:17" ht="15" customHeight="1" x14ac:dyDescent="0.25">
      <c r="A139" s="482" t="s">
        <v>431</v>
      </c>
      <c r="P139" s="220"/>
      <c r="Q139" s="366"/>
    </row>
    <row r="140" spans="1:17" x14ac:dyDescent="0.25">
      <c r="A140" s="482" t="s">
        <v>434</v>
      </c>
      <c r="P140" s="220"/>
      <c r="Q140" s="366"/>
    </row>
    <row r="141" spans="1:17" x14ac:dyDescent="0.25">
      <c r="A141" s="482" t="s">
        <v>436</v>
      </c>
      <c r="P141" s="220"/>
      <c r="Q141" s="366"/>
    </row>
    <row r="142" spans="1:17" x14ac:dyDescent="0.25">
      <c r="A142" s="484" t="s">
        <v>438</v>
      </c>
      <c r="P142" s="220"/>
      <c r="Q142" s="366"/>
    </row>
    <row r="143" spans="1:17" x14ac:dyDescent="0.25">
      <c r="A143" s="484" t="s">
        <v>440</v>
      </c>
      <c r="P143" s="220"/>
      <c r="Q143" s="366"/>
    </row>
    <row r="144" spans="1:17" x14ac:dyDescent="0.25">
      <c r="A144" s="484" t="s">
        <v>439</v>
      </c>
      <c r="P144" s="220"/>
      <c r="Q144" s="366"/>
    </row>
    <row r="145" spans="1:17" x14ac:dyDescent="0.25">
      <c r="A145" s="484" t="s">
        <v>441</v>
      </c>
      <c r="P145" s="220"/>
      <c r="Q145" s="366"/>
    </row>
    <row r="146" spans="1:17" x14ac:dyDescent="0.25">
      <c r="A146" s="484" t="s">
        <v>442</v>
      </c>
      <c r="P146" s="220"/>
      <c r="Q146" s="366"/>
    </row>
    <row r="147" spans="1:17" x14ac:dyDescent="0.25">
      <c r="A147" s="484" t="s">
        <v>443</v>
      </c>
      <c r="P147" s="220"/>
      <c r="Q147" s="366"/>
    </row>
    <row r="148" spans="1:17" x14ac:dyDescent="0.25">
      <c r="A148" s="484" t="s">
        <v>446</v>
      </c>
      <c r="P148" s="220"/>
      <c r="Q148" s="366"/>
    </row>
    <row r="149" spans="1:17" x14ac:dyDescent="0.25">
      <c r="A149" s="484" t="s">
        <v>450</v>
      </c>
      <c r="P149" s="220"/>
      <c r="Q149" s="366"/>
    </row>
    <row r="150" spans="1:17" x14ac:dyDescent="0.25">
      <c r="A150" s="484" t="s">
        <v>454</v>
      </c>
      <c r="P150" s="220"/>
      <c r="Q150" s="366"/>
    </row>
    <row r="151" spans="1:17" x14ac:dyDescent="0.25">
      <c r="A151" s="484" t="s">
        <v>455</v>
      </c>
      <c r="P151" s="220"/>
      <c r="Q151" s="366"/>
    </row>
    <row r="152" spans="1:17" x14ac:dyDescent="0.25">
      <c r="A152" s="484" t="s">
        <v>458</v>
      </c>
      <c r="P152" s="220"/>
      <c r="Q152" s="366"/>
    </row>
    <row r="153" spans="1:17" x14ac:dyDescent="0.25">
      <c r="A153" s="484" t="s">
        <v>472</v>
      </c>
      <c r="P153" s="220"/>
      <c r="Q153" s="366"/>
    </row>
    <row r="154" spans="1:17" x14ac:dyDescent="0.25">
      <c r="A154" s="484" t="s">
        <v>475</v>
      </c>
      <c r="P154" s="220"/>
      <c r="Q154" s="366"/>
    </row>
    <row r="155" spans="1:17" x14ac:dyDescent="0.25">
      <c r="A155" s="484" t="s">
        <v>477</v>
      </c>
      <c r="P155" s="220"/>
      <c r="Q155" s="366"/>
    </row>
    <row r="156" spans="1:17" x14ac:dyDescent="0.25">
      <c r="A156" s="484" t="s">
        <v>478</v>
      </c>
      <c r="P156" s="220"/>
      <c r="Q156" s="366"/>
    </row>
    <row r="157" spans="1:17" x14ac:dyDescent="0.25">
      <c r="A157" s="484" t="s">
        <v>480</v>
      </c>
      <c r="P157" s="220"/>
      <c r="Q157" s="366"/>
    </row>
    <row r="158" spans="1:17" x14ac:dyDescent="0.25">
      <c r="A158" s="550" t="s">
        <v>481</v>
      </c>
      <c r="P158" s="220"/>
      <c r="Q158" s="366"/>
    </row>
    <row r="159" spans="1:17" x14ac:dyDescent="0.25">
      <c r="A159" s="484" t="s">
        <v>484</v>
      </c>
      <c r="P159" s="220"/>
      <c r="Q159" s="366"/>
    </row>
    <row r="160" spans="1:17" x14ac:dyDescent="0.25">
      <c r="A160" s="484" t="s">
        <v>496</v>
      </c>
      <c r="P160" s="220"/>
      <c r="Q160" s="366"/>
    </row>
    <row r="161" spans="16:17" x14ac:dyDescent="0.25">
      <c r="P161" s="220"/>
      <c r="Q161" s="366"/>
    </row>
    <row r="162" spans="16:17" x14ac:dyDescent="0.25">
      <c r="P162" s="220"/>
      <c r="Q162" s="366"/>
    </row>
    <row r="163" spans="16:17" x14ac:dyDescent="0.25">
      <c r="P163" s="220"/>
      <c r="Q163" s="366"/>
    </row>
    <row r="164" spans="16:17" x14ac:dyDescent="0.25">
      <c r="P164" s="220"/>
      <c r="Q164" s="366"/>
    </row>
    <row r="165" spans="16:17" x14ac:dyDescent="0.25">
      <c r="P165" s="220"/>
      <c r="Q165" s="366"/>
    </row>
    <row r="166" spans="16:17" x14ac:dyDescent="0.25">
      <c r="P166" s="220"/>
      <c r="Q166" s="366"/>
    </row>
    <row r="167" spans="16:17" x14ac:dyDescent="0.25">
      <c r="P167" s="220"/>
      <c r="Q167" s="366"/>
    </row>
    <row r="168" spans="16:17" x14ac:dyDescent="0.25">
      <c r="P168" s="220"/>
      <c r="Q168" s="366"/>
    </row>
    <row r="169" spans="16:17" x14ac:dyDescent="0.25">
      <c r="P169" s="220"/>
      <c r="Q169" s="366"/>
    </row>
    <row r="170" spans="16:17" x14ac:dyDescent="0.25">
      <c r="P170" s="220"/>
      <c r="Q170" s="366"/>
    </row>
    <row r="171" spans="16:17" x14ac:dyDescent="0.25">
      <c r="P171" s="220"/>
      <c r="Q171" s="366"/>
    </row>
    <row r="172" spans="16:17" x14ac:dyDescent="0.25">
      <c r="P172" s="220"/>
      <c r="Q172" s="366"/>
    </row>
    <row r="173" spans="16:17" x14ac:dyDescent="0.25">
      <c r="P173" s="220"/>
      <c r="Q173" s="366"/>
    </row>
    <row r="174" spans="16:17" x14ac:dyDescent="0.25">
      <c r="P174" s="220"/>
      <c r="Q174" s="366"/>
    </row>
    <row r="175" spans="16:17" x14ac:dyDescent="0.25">
      <c r="P175" s="220"/>
      <c r="Q175" s="366"/>
    </row>
    <row r="176" spans="16:17" x14ac:dyDescent="0.25">
      <c r="P176" s="220"/>
      <c r="Q176" s="366"/>
    </row>
    <row r="177" spans="16:17" x14ac:dyDescent="0.25">
      <c r="P177" s="220"/>
      <c r="Q177" s="366"/>
    </row>
    <row r="178" spans="16:17" x14ac:dyDescent="0.25">
      <c r="P178" s="220"/>
      <c r="Q178" s="366"/>
    </row>
    <row r="179" spans="16:17" x14ac:dyDescent="0.25">
      <c r="P179" s="220"/>
      <c r="Q179" s="366"/>
    </row>
    <row r="180" spans="16:17" x14ac:dyDescent="0.25">
      <c r="P180" s="220"/>
      <c r="Q180" s="366"/>
    </row>
    <row r="181" spans="16:17" x14ac:dyDescent="0.25">
      <c r="P181" s="220"/>
      <c r="Q181" s="366"/>
    </row>
    <row r="182" spans="16:17" x14ac:dyDescent="0.25">
      <c r="P182" s="220"/>
      <c r="Q182" s="366"/>
    </row>
    <row r="183" spans="16:17" x14ac:dyDescent="0.25">
      <c r="P183" s="220"/>
      <c r="Q183" s="366"/>
    </row>
    <row r="184" spans="16:17" x14ac:dyDescent="0.25">
      <c r="P184" s="220"/>
      <c r="Q184" s="366"/>
    </row>
    <row r="185" spans="16:17" x14ac:dyDescent="0.25">
      <c r="P185" s="220"/>
      <c r="Q185" s="366"/>
    </row>
    <row r="186" spans="16:17" x14ac:dyDescent="0.25">
      <c r="P186" s="220"/>
      <c r="Q186" s="366"/>
    </row>
    <row r="187" spans="16:17" x14ac:dyDescent="0.25">
      <c r="P187" s="220"/>
      <c r="Q187" s="366"/>
    </row>
    <row r="188" spans="16:17" x14ac:dyDescent="0.25">
      <c r="P188" s="220"/>
      <c r="Q188" s="366"/>
    </row>
    <row r="189" spans="16:17" x14ac:dyDescent="0.25">
      <c r="P189" s="220"/>
      <c r="Q189" s="366"/>
    </row>
    <row r="190" spans="16:17" x14ac:dyDescent="0.25">
      <c r="P190" s="220"/>
      <c r="Q190" s="366"/>
    </row>
    <row r="191" spans="16:17" x14ac:dyDescent="0.25">
      <c r="P191" s="220"/>
      <c r="Q191" s="366"/>
    </row>
    <row r="192" spans="16:17" x14ac:dyDescent="0.25">
      <c r="P192" s="220"/>
      <c r="Q192" s="366"/>
    </row>
    <row r="193" spans="16:17" x14ac:dyDescent="0.25">
      <c r="P193" s="220"/>
      <c r="Q193" s="366"/>
    </row>
    <row r="194" spans="16:17" x14ac:dyDescent="0.25">
      <c r="P194" s="220"/>
      <c r="Q194" s="366"/>
    </row>
    <row r="195" spans="16:17" x14ac:dyDescent="0.25">
      <c r="P195" s="220"/>
      <c r="Q195" s="366"/>
    </row>
    <row r="196" spans="16:17" x14ac:dyDescent="0.25">
      <c r="P196" s="220"/>
      <c r="Q196" s="366"/>
    </row>
    <row r="197" spans="16:17" x14ac:dyDescent="0.25">
      <c r="P197" s="220"/>
      <c r="Q197" s="366"/>
    </row>
    <row r="198" spans="16:17" x14ac:dyDescent="0.25">
      <c r="P198" s="220"/>
      <c r="Q198" s="366"/>
    </row>
    <row r="199" spans="16:17" x14ac:dyDescent="0.25">
      <c r="P199" s="220"/>
      <c r="Q199" s="366"/>
    </row>
    <row r="200" spans="16:17" x14ac:dyDescent="0.25">
      <c r="P200" s="220"/>
      <c r="Q200" s="366"/>
    </row>
    <row r="201" spans="16:17" x14ac:dyDescent="0.25">
      <c r="P201" s="220"/>
      <c r="Q201" s="366"/>
    </row>
    <row r="202" spans="16:17" x14ac:dyDescent="0.25">
      <c r="P202" s="220"/>
      <c r="Q202" s="366"/>
    </row>
    <row r="203" spans="16:17" x14ac:dyDescent="0.25">
      <c r="P203" s="220"/>
      <c r="Q203" s="366"/>
    </row>
    <row r="204" spans="16:17" x14ac:dyDescent="0.25">
      <c r="P204" s="220"/>
      <c r="Q204" s="366"/>
    </row>
    <row r="205" spans="16:17" x14ac:dyDescent="0.25">
      <c r="P205" s="220"/>
      <c r="Q205" s="366"/>
    </row>
    <row r="206" spans="16:17" x14ac:dyDescent="0.25">
      <c r="P206" s="220"/>
      <c r="Q206" s="366"/>
    </row>
    <row r="207" spans="16:17" x14ac:dyDescent="0.25">
      <c r="P207" s="220"/>
      <c r="Q207" s="366"/>
    </row>
    <row r="208" spans="16:17" x14ac:dyDescent="0.25">
      <c r="P208" s="220"/>
      <c r="Q208" s="366"/>
    </row>
    <row r="209" spans="16:17" x14ac:dyDescent="0.25">
      <c r="P209" s="220"/>
      <c r="Q209" s="366"/>
    </row>
    <row r="210" spans="16:17" x14ac:dyDescent="0.25">
      <c r="P210" s="220"/>
      <c r="Q210" s="366"/>
    </row>
    <row r="211" spans="16:17" x14ac:dyDescent="0.25">
      <c r="P211" s="220"/>
      <c r="Q211" s="366"/>
    </row>
    <row r="212" spans="16:17" x14ac:dyDescent="0.25">
      <c r="P212" s="220"/>
      <c r="Q212" s="366"/>
    </row>
    <row r="213" spans="16:17" x14ac:dyDescent="0.25">
      <c r="P213" s="220"/>
      <c r="Q213" s="366"/>
    </row>
    <row r="214" spans="16:17" x14ac:dyDescent="0.25">
      <c r="P214" s="220"/>
      <c r="Q214" s="366"/>
    </row>
    <row r="215" spans="16:17" x14ac:dyDescent="0.25">
      <c r="P215" s="220"/>
      <c r="Q215" s="366"/>
    </row>
    <row r="216" spans="16:17" x14ac:dyDescent="0.25">
      <c r="P216" s="220"/>
      <c r="Q216" s="366"/>
    </row>
    <row r="217" spans="16:17" x14ac:dyDescent="0.25">
      <c r="P217" s="220"/>
      <c r="Q217" s="366"/>
    </row>
    <row r="218" spans="16:17" x14ac:dyDescent="0.25">
      <c r="P218" s="220"/>
      <c r="Q218" s="366"/>
    </row>
    <row r="219" spans="16:17" x14ac:dyDescent="0.25">
      <c r="P219" s="220"/>
      <c r="Q219" s="366"/>
    </row>
    <row r="220" spans="16:17" x14ac:dyDescent="0.25">
      <c r="P220" s="220"/>
      <c r="Q220" s="366"/>
    </row>
    <row r="221" spans="16:17" x14ac:dyDescent="0.25">
      <c r="P221" s="220"/>
      <c r="Q221" s="366"/>
    </row>
    <row r="222" spans="16:17" x14ac:dyDescent="0.25">
      <c r="P222" s="220"/>
      <c r="Q222" s="366"/>
    </row>
    <row r="223" spans="16:17" x14ac:dyDescent="0.25">
      <c r="P223" s="220"/>
      <c r="Q223" s="366"/>
    </row>
    <row r="224" spans="16:17" x14ac:dyDescent="0.25">
      <c r="P224" s="220"/>
      <c r="Q224" s="366"/>
    </row>
    <row r="225" spans="16:17" x14ac:dyDescent="0.25">
      <c r="P225" s="220"/>
      <c r="Q225" s="366"/>
    </row>
    <row r="226" spans="16:17" x14ac:dyDescent="0.25">
      <c r="P226" s="220"/>
      <c r="Q226" s="366"/>
    </row>
    <row r="227" spans="16:17" x14ac:dyDescent="0.25">
      <c r="P227" s="220"/>
      <c r="Q227" s="366"/>
    </row>
    <row r="228" spans="16:17" x14ac:dyDescent="0.25">
      <c r="P228" s="220"/>
      <c r="Q228" s="366"/>
    </row>
    <row r="229" spans="16:17" x14ac:dyDescent="0.25">
      <c r="P229" s="220"/>
      <c r="Q229" s="366"/>
    </row>
    <row r="230" spans="16:17" x14ac:dyDescent="0.25">
      <c r="P230" s="220"/>
      <c r="Q230" s="366"/>
    </row>
    <row r="231" spans="16:17" x14ac:dyDescent="0.25">
      <c r="P231" s="220"/>
      <c r="Q231" s="366"/>
    </row>
    <row r="232" spans="16:17" x14ac:dyDescent="0.25">
      <c r="P232" s="220"/>
      <c r="Q232" s="366"/>
    </row>
    <row r="233" spans="16:17" x14ac:dyDescent="0.25">
      <c r="P233" s="220"/>
      <c r="Q233" s="366"/>
    </row>
    <row r="234" spans="16:17" x14ac:dyDescent="0.25">
      <c r="P234" s="220"/>
      <c r="Q234" s="366"/>
    </row>
    <row r="235" spans="16:17" x14ac:dyDescent="0.25">
      <c r="P235" s="220"/>
      <c r="Q235" s="366"/>
    </row>
    <row r="236" spans="16:17" x14ac:dyDescent="0.25">
      <c r="P236" s="220"/>
      <c r="Q236" s="366"/>
    </row>
    <row r="237" spans="16:17" x14ac:dyDescent="0.25">
      <c r="P237" s="220"/>
      <c r="Q237" s="366"/>
    </row>
    <row r="238" spans="16:17" x14ac:dyDescent="0.25">
      <c r="P238" s="220"/>
      <c r="Q238" s="366"/>
    </row>
    <row r="239" spans="16:17" x14ac:dyDescent="0.25">
      <c r="P239" s="220"/>
      <c r="Q239" s="366"/>
    </row>
    <row r="240" spans="16:17" x14ac:dyDescent="0.25">
      <c r="P240" s="220"/>
      <c r="Q240" s="366"/>
    </row>
    <row r="241" spans="16:17" x14ac:dyDescent="0.25">
      <c r="P241" s="220"/>
      <c r="Q241" s="366"/>
    </row>
    <row r="242" spans="16:17" x14ac:dyDescent="0.25">
      <c r="P242" s="220"/>
      <c r="Q242" s="366"/>
    </row>
    <row r="243" spans="16:17" x14ac:dyDescent="0.25">
      <c r="P243" s="220"/>
      <c r="Q243" s="366"/>
    </row>
    <row r="244" spans="16:17" x14ac:dyDescent="0.25">
      <c r="P244" s="220"/>
      <c r="Q244" s="366"/>
    </row>
    <row r="245" spans="16:17" x14ac:dyDescent="0.25">
      <c r="P245" s="220"/>
      <c r="Q245" s="366"/>
    </row>
    <row r="246" spans="16:17" x14ac:dyDescent="0.25">
      <c r="P246" s="220"/>
      <c r="Q246" s="366"/>
    </row>
    <row r="247" spans="16:17" x14ac:dyDescent="0.25">
      <c r="P247" s="220"/>
      <c r="Q247" s="366"/>
    </row>
    <row r="248" spans="16:17" x14ac:dyDescent="0.25">
      <c r="P248" s="220"/>
      <c r="Q248" s="366"/>
    </row>
    <row r="249" spans="16:17" x14ac:dyDescent="0.25">
      <c r="P249" s="220"/>
      <c r="Q249" s="366"/>
    </row>
    <row r="250" spans="16:17" x14ac:dyDescent="0.25">
      <c r="P250" s="220"/>
      <c r="Q250" s="366"/>
    </row>
    <row r="251" spans="16:17" x14ac:dyDescent="0.25">
      <c r="P251" s="220"/>
      <c r="Q251" s="366"/>
    </row>
    <row r="252" spans="16:17" x14ac:dyDescent="0.25">
      <c r="P252" s="220"/>
      <c r="Q252" s="366"/>
    </row>
    <row r="253" spans="16:17" x14ac:dyDescent="0.25">
      <c r="P253" s="220"/>
      <c r="Q253" s="366"/>
    </row>
    <row r="254" spans="16:17" x14ac:dyDescent="0.25">
      <c r="P254" s="220"/>
      <c r="Q254" s="366"/>
    </row>
    <row r="255" spans="16:17" x14ac:dyDescent="0.25">
      <c r="P255" s="220"/>
      <c r="Q255" s="366"/>
    </row>
    <row r="256" spans="16:17" x14ac:dyDescent="0.25">
      <c r="P256" s="220"/>
      <c r="Q256" s="366"/>
    </row>
    <row r="257" spans="16:17" x14ac:dyDescent="0.25">
      <c r="P257" s="220"/>
      <c r="Q257" s="366"/>
    </row>
    <row r="258" spans="16:17" x14ac:dyDescent="0.25">
      <c r="P258" s="220"/>
      <c r="Q258" s="366"/>
    </row>
    <row r="259" spans="16:17" x14ac:dyDescent="0.25">
      <c r="P259" s="220"/>
      <c r="Q259" s="366"/>
    </row>
    <row r="260" spans="16:17" x14ac:dyDescent="0.25">
      <c r="P260" s="220"/>
      <c r="Q260" s="366"/>
    </row>
    <row r="261" spans="16:17" x14ac:dyDescent="0.25">
      <c r="P261" s="220"/>
      <c r="Q261" s="366"/>
    </row>
    <row r="262" spans="16:17" x14ac:dyDescent="0.25">
      <c r="P262" s="220"/>
      <c r="Q262" s="366"/>
    </row>
    <row r="263" spans="16:17" x14ac:dyDescent="0.25">
      <c r="P263" s="220"/>
      <c r="Q263" s="366"/>
    </row>
    <row r="264" spans="16:17" x14ac:dyDescent="0.25">
      <c r="P264" s="220"/>
      <c r="Q264" s="366"/>
    </row>
    <row r="265" spans="16:17" x14ac:dyDescent="0.25">
      <c r="P265" s="220"/>
      <c r="Q265" s="366"/>
    </row>
    <row r="266" spans="16:17" x14ac:dyDescent="0.25">
      <c r="P266" s="220"/>
      <c r="Q266" s="366"/>
    </row>
    <row r="267" spans="16:17" x14ac:dyDescent="0.25">
      <c r="P267" s="220"/>
      <c r="Q267" s="366"/>
    </row>
    <row r="268" spans="16:17" x14ac:dyDescent="0.25">
      <c r="P268" s="220"/>
      <c r="Q268" s="366"/>
    </row>
    <row r="269" spans="16:17" x14ac:dyDescent="0.25">
      <c r="P269" s="220"/>
      <c r="Q269" s="366"/>
    </row>
    <row r="270" spans="16:17" x14ac:dyDescent="0.25">
      <c r="P270" s="220"/>
      <c r="Q270" s="366"/>
    </row>
    <row r="271" spans="16:17" x14ac:dyDescent="0.25">
      <c r="P271" s="220"/>
      <c r="Q271" s="366"/>
    </row>
    <row r="272" spans="16:17" x14ac:dyDescent="0.25">
      <c r="P272" s="220"/>
      <c r="Q272" s="366"/>
    </row>
    <row r="273" spans="16:17" x14ac:dyDescent="0.25">
      <c r="P273" s="220"/>
      <c r="Q273" s="366"/>
    </row>
    <row r="274" spans="16:17" x14ac:dyDescent="0.25">
      <c r="P274" s="220"/>
      <c r="Q274" s="366"/>
    </row>
    <row r="275" spans="16:17" x14ac:dyDescent="0.25">
      <c r="P275" s="220"/>
      <c r="Q275" s="366"/>
    </row>
    <row r="276" spans="16:17" x14ac:dyDescent="0.25">
      <c r="P276" s="220"/>
      <c r="Q276" s="366"/>
    </row>
    <row r="277" spans="16:17" x14ac:dyDescent="0.25">
      <c r="P277" s="220"/>
      <c r="Q277" s="366"/>
    </row>
    <row r="278" spans="16:17" x14ac:dyDescent="0.25">
      <c r="P278" s="220"/>
      <c r="Q278" s="366"/>
    </row>
    <row r="279" spans="16:17" x14ac:dyDescent="0.25">
      <c r="P279" s="220"/>
      <c r="Q279" s="366"/>
    </row>
    <row r="280" spans="16:17" x14ac:dyDescent="0.25">
      <c r="P280" s="220"/>
      <c r="Q280" s="366"/>
    </row>
    <row r="281" spans="16:17" x14ac:dyDescent="0.25">
      <c r="P281" s="220"/>
      <c r="Q281" s="366"/>
    </row>
    <row r="282" spans="16:17" x14ac:dyDescent="0.25">
      <c r="P282" s="220"/>
      <c r="Q282" s="366"/>
    </row>
    <row r="283" spans="16:17" x14ac:dyDescent="0.25">
      <c r="P283" s="220"/>
      <c r="Q283" s="366"/>
    </row>
    <row r="284" spans="16:17" x14ac:dyDescent="0.25">
      <c r="P284" s="220"/>
      <c r="Q284" s="366"/>
    </row>
    <row r="285" spans="16:17" x14ac:dyDescent="0.25">
      <c r="P285" s="220"/>
      <c r="Q285" s="366"/>
    </row>
    <row r="286" spans="16:17" x14ac:dyDescent="0.25">
      <c r="P286" s="220"/>
      <c r="Q286" s="366"/>
    </row>
    <row r="287" spans="16:17" x14ac:dyDescent="0.25">
      <c r="P287" s="220"/>
      <c r="Q287" s="366"/>
    </row>
    <row r="288" spans="16:17" x14ac:dyDescent="0.25">
      <c r="P288" s="220"/>
      <c r="Q288" s="366"/>
    </row>
    <row r="289" spans="16:17" x14ac:dyDescent="0.25">
      <c r="P289" s="220"/>
      <c r="Q289" s="366"/>
    </row>
    <row r="290" spans="16:17" x14ac:dyDescent="0.25">
      <c r="P290" s="220"/>
      <c r="Q290" s="366"/>
    </row>
    <row r="291" spans="16:17" x14ac:dyDescent="0.25">
      <c r="P291" s="220"/>
      <c r="Q291" s="366"/>
    </row>
    <row r="292" spans="16:17" x14ac:dyDescent="0.25">
      <c r="P292" s="220"/>
      <c r="Q292" s="366"/>
    </row>
    <row r="293" spans="16:17" x14ac:dyDescent="0.25">
      <c r="P293" s="220"/>
      <c r="Q293" s="366"/>
    </row>
    <row r="294" spans="16:17" x14ac:dyDescent="0.25">
      <c r="P294" s="220"/>
      <c r="Q294" s="366"/>
    </row>
    <row r="295" spans="16:17" x14ac:dyDescent="0.25">
      <c r="P295" s="220"/>
      <c r="Q295" s="366"/>
    </row>
    <row r="296" spans="16:17" x14ac:dyDescent="0.25">
      <c r="P296" s="220"/>
      <c r="Q296" s="366"/>
    </row>
    <row r="297" spans="16:17" x14ac:dyDescent="0.25">
      <c r="P297" s="220"/>
      <c r="Q297" s="366"/>
    </row>
    <row r="298" spans="16:17" x14ac:dyDescent="0.25">
      <c r="P298" s="220"/>
      <c r="Q298" s="366"/>
    </row>
    <row r="299" spans="16:17" x14ac:dyDescent="0.25">
      <c r="P299" s="220"/>
      <c r="Q299" s="366"/>
    </row>
    <row r="300" spans="16:17" x14ac:dyDescent="0.25">
      <c r="P300" s="220"/>
      <c r="Q300" s="366"/>
    </row>
    <row r="301" spans="16:17" x14ac:dyDescent="0.25">
      <c r="P301" s="220"/>
      <c r="Q301" s="366"/>
    </row>
    <row r="302" spans="16:17" x14ac:dyDescent="0.25">
      <c r="P302" s="220"/>
      <c r="Q302" s="366"/>
    </row>
    <row r="303" spans="16:17" x14ac:dyDescent="0.25">
      <c r="P303" s="220"/>
      <c r="Q303" s="366"/>
    </row>
    <row r="304" spans="16:17" x14ac:dyDescent="0.25">
      <c r="P304" s="220"/>
      <c r="Q304" s="366"/>
    </row>
    <row r="305" spans="16:17" x14ac:dyDescent="0.25">
      <c r="P305" s="220"/>
      <c r="Q305" s="366"/>
    </row>
    <row r="306" spans="16:17" x14ac:dyDescent="0.25">
      <c r="P306" s="220"/>
      <c r="Q306" s="366"/>
    </row>
    <row r="307" spans="16:17" x14ac:dyDescent="0.25">
      <c r="P307" s="220"/>
      <c r="Q307" s="366"/>
    </row>
    <row r="308" spans="16:17" x14ac:dyDescent="0.25">
      <c r="P308" s="220"/>
      <c r="Q308" s="366"/>
    </row>
    <row r="309" spans="16:17" x14ac:dyDescent="0.25">
      <c r="P309" s="220"/>
      <c r="Q309" s="366"/>
    </row>
    <row r="310" spans="16:17" x14ac:dyDescent="0.25">
      <c r="P310" s="220"/>
      <c r="Q310" s="366"/>
    </row>
    <row r="311" spans="16:17" x14ac:dyDescent="0.25">
      <c r="P311" s="220"/>
      <c r="Q311" s="366"/>
    </row>
    <row r="312" spans="16:17" x14ac:dyDescent="0.25">
      <c r="P312" s="220"/>
      <c r="Q312" s="366"/>
    </row>
    <row r="313" spans="16:17" x14ac:dyDescent="0.25">
      <c r="P313" s="220"/>
      <c r="Q313" s="366"/>
    </row>
    <row r="314" spans="16:17" x14ac:dyDescent="0.25">
      <c r="P314" s="220"/>
      <c r="Q314" s="366"/>
    </row>
    <row r="315" spans="16:17" x14ac:dyDescent="0.25">
      <c r="P315" s="220"/>
      <c r="Q315" s="366"/>
    </row>
    <row r="316" spans="16:17" x14ac:dyDescent="0.25">
      <c r="P316" s="220"/>
      <c r="Q316" s="366"/>
    </row>
    <row r="317" spans="16:17" x14ac:dyDescent="0.25">
      <c r="P317" s="220"/>
      <c r="Q317" s="366"/>
    </row>
    <row r="318" spans="16:17" x14ac:dyDescent="0.25">
      <c r="P318" s="220"/>
      <c r="Q318" s="366"/>
    </row>
    <row r="319" spans="16:17" x14ac:dyDescent="0.25">
      <c r="P319" s="220"/>
      <c r="Q319" s="366"/>
    </row>
    <row r="320" spans="16:17" x14ac:dyDescent="0.25">
      <c r="P320" s="220"/>
      <c r="Q320" s="366"/>
    </row>
    <row r="321" spans="16:17" x14ac:dyDescent="0.25">
      <c r="P321" s="220"/>
      <c r="Q321" s="366"/>
    </row>
    <row r="322" spans="16:17" x14ac:dyDescent="0.25">
      <c r="P322" s="220"/>
      <c r="Q322" s="366"/>
    </row>
    <row r="323" spans="16:17" x14ac:dyDescent="0.25">
      <c r="P323" s="220"/>
      <c r="Q323" s="366"/>
    </row>
    <row r="324" spans="16:17" x14ac:dyDescent="0.25">
      <c r="P324" s="220"/>
      <c r="Q324" s="366"/>
    </row>
    <row r="325" spans="16:17" x14ac:dyDescent="0.25">
      <c r="P325" s="220"/>
      <c r="Q325" s="366"/>
    </row>
    <row r="326" spans="16:17" x14ac:dyDescent="0.25">
      <c r="P326" s="220"/>
      <c r="Q326" s="366"/>
    </row>
    <row r="327" spans="16:17" x14ac:dyDescent="0.25">
      <c r="P327" s="220"/>
      <c r="Q327" s="366"/>
    </row>
    <row r="328" spans="16:17" x14ac:dyDescent="0.25">
      <c r="P328" s="220"/>
      <c r="Q328" s="366"/>
    </row>
    <row r="329" spans="16:17" x14ac:dyDescent="0.25">
      <c r="P329" s="220"/>
      <c r="Q329" s="366"/>
    </row>
    <row r="330" spans="16:17" x14ac:dyDescent="0.25">
      <c r="P330" s="220"/>
      <c r="Q330" s="366"/>
    </row>
    <row r="331" spans="16:17" x14ac:dyDescent="0.25">
      <c r="P331" s="220"/>
      <c r="Q331" s="366"/>
    </row>
    <row r="332" spans="16:17" x14ac:dyDescent="0.25">
      <c r="P332" s="220"/>
      <c r="Q332" s="366"/>
    </row>
    <row r="333" spans="16:17" x14ac:dyDescent="0.25">
      <c r="P333" s="220"/>
      <c r="Q333" s="366"/>
    </row>
    <row r="334" spans="16:17" x14ac:dyDescent="0.25">
      <c r="P334" s="220"/>
      <c r="Q334" s="366"/>
    </row>
    <row r="335" spans="16:17" x14ac:dyDescent="0.25">
      <c r="P335" s="220"/>
      <c r="Q335" s="366"/>
    </row>
    <row r="336" spans="16:17" x14ac:dyDescent="0.25">
      <c r="P336" s="220"/>
      <c r="Q336" s="366"/>
    </row>
    <row r="337" spans="16:17" x14ac:dyDescent="0.25">
      <c r="P337" s="220"/>
      <c r="Q337" s="366"/>
    </row>
    <row r="338" spans="16:17" x14ac:dyDescent="0.25">
      <c r="P338" s="220"/>
      <c r="Q338" s="366"/>
    </row>
    <row r="339" spans="16:17" x14ac:dyDescent="0.25">
      <c r="P339" s="220"/>
      <c r="Q339" s="366"/>
    </row>
    <row r="340" spans="16:17" x14ac:dyDescent="0.25">
      <c r="P340" s="220"/>
      <c r="Q340" s="366"/>
    </row>
    <row r="341" spans="16:17" x14ac:dyDescent="0.25">
      <c r="P341" s="220"/>
      <c r="Q341" s="366"/>
    </row>
    <row r="342" spans="16:17" x14ac:dyDescent="0.25">
      <c r="P342" s="220"/>
      <c r="Q342" s="366"/>
    </row>
    <row r="343" spans="16:17" x14ac:dyDescent="0.25">
      <c r="P343" s="220"/>
      <c r="Q343" s="366"/>
    </row>
    <row r="344" spans="16:17" x14ac:dyDescent="0.25">
      <c r="P344" s="220"/>
      <c r="Q344" s="366"/>
    </row>
    <row r="345" spans="16:17" x14ac:dyDescent="0.25">
      <c r="P345" s="220"/>
      <c r="Q345" s="366"/>
    </row>
    <row r="346" spans="16:17" x14ac:dyDescent="0.25">
      <c r="P346" s="220"/>
      <c r="Q346" s="366"/>
    </row>
    <row r="347" spans="16:17" x14ac:dyDescent="0.25">
      <c r="P347" s="220"/>
      <c r="Q347" s="366"/>
    </row>
    <row r="348" spans="16:17" x14ac:dyDescent="0.25">
      <c r="P348" s="220"/>
      <c r="Q348" s="366"/>
    </row>
    <row r="349" spans="16:17" x14ac:dyDescent="0.25">
      <c r="P349" s="220"/>
      <c r="Q349" s="366"/>
    </row>
    <row r="350" spans="16:17" x14ac:dyDescent="0.25">
      <c r="P350" s="220"/>
      <c r="Q350" s="366"/>
    </row>
    <row r="351" spans="16:17" x14ac:dyDescent="0.25">
      <c r="P351" s="220"/>
      <c r="Q351" s="366"/>
    </row>
    <row r="352" spans="16:17" x14ac:dyDescent="0.25">
      <c r="P352" s="220"/>
      <c r="Q352" s="366"/>
    </row>
    <row r="353" spans="16:17" x14ac:dyDescent="0.25">
      <c r="P353" s="220"/>
      <c r="Q353" s="366"/>
    </row>
    <row r="354" spans="16:17" x14ac:dyDescent="0.25">
      <c r="P354" s="220"/>
      <c r="Q354" s="366"/>
    </row>
    <row r="355" spans="16:17" x14ac:dyDescent="0.25">
      <c r="P355" s="220"/>
      <c r="Q355" s="366"/>
    </row>
    <row r="356" spans="16:17" x14ac:dyDescent="0.25">
      <c r="P356" s="220"/>
      <c r="Q356" s="366"/>
    </row>
    <row r="357" spans="16:17" x14ac:dyDescent="0.25">
      <c r="P357" s="220"/>
      <c r="Q357" s="366"/>
    </row>
    <row r="358" spans="16:17" x14ac:dyDescent="0.25">
      <c r="P358" s="220"/>
      <c r="Q358" s="366"/>
    </row>
    <row r="359" spans="16:17" x14ac:dyDescent="0.25">
      <c r="P359" s="220"/>
      <c r="Q359" s="366"/>
    </row>
    <row r="360" spans="16:17" x14ac:dyDescent="0.25">
      <c r="P360" s="220"/>
      <c r="Q360" s="366"/>
    </row>
    <row r="361" spans="16:17" x14ac:dyDescent="0.25">
      <c r="P361" s="220"/>
      <c r="Q361" s="366"/>
    </row>
    <row r="362" spans="16:17" x14ac:dyDescent="0.25">
      <c r="P362" s="220"/>
      <c r="Q362" s="366"/>
    </row>
    <row r="363" spans="16:17" x14ac:dyDescent="0.25">
      <c r="P363" s="220"/>
      <c r="Q363" s="366"/>
    </row>
    <row r="364" spans="16:17" x14ac:dyDescent="0.25">
      <c r="P364" s="220"/>
      <c r="Q364" s="366"/>
    </row>
    <row r="365" spans="16:17" x14ac:dyDescent="0.25">
      <c r="P365" s="220"/>
      <c r="Q365" s="366"/>
    </row>
    <row r="366" spans="16:17" x14ac:dyDescent="0.25">
      <c r="P366" s="220"/>
      <c r="Q366" s="366"/>
    </row>
    <row r="367" spans="16:17" x14ac:dyDescent="0.25">
      <c r="P367" s="220"/>
      <c r="Q367" s="366"/>
    </row>
    <row r="368" spans="16:17" x14ac:dyDescent="0.25">
      <c r="P368" s="220"/>
      <c r="Q368" s="366"/>
    </row>
    <row r="369" spans="16:17" x14ac:dyDescent="0.25">
      <c r="P369" s="220"/>
      <c r="Q369" s="366"/>
    </row>
    <row r="370" spans="16:17" x14ac:dyDescent="0.25">
      <c r="P370" s="220"/>
      <c r="Q370" s="366"/>
    </row>
    <row r="371" spans="16:17" x14ac:dyDescent="0.25">
      <c r="P371" s="220"/>
      <c r="Q371" s="366"/>
    </row>
    <row r="372" spans="16:17" x14ac:dyDescent="0.25">
      <c r="P372" s="220"/>
      <c r="Q372" s="366"/>
    </row>
    <row r="373" spans="16:17" x14ac:dyDescent="0.25">
      <c r="P373" s="220"/>
      <c r="Q373" s="366"/>
    </row>
    <row r="374" spans="16:17" x14ac:dyDescent="0.25">
      <c r="P374" s="220"/>
      <c r="Q374" s="366"/>
    </row>
    <row r="375" spans="16:17" x14ac:dyDescent="0.25">
      <c r="P375" s="220"/>
      <c r="Q375" s="366"/>
    </row>
    <row r="376" spans="16:17" x14ac:dyDescent="0.25">
      <c r="P376" s="220"/>
      <c r="Q376" s="366"/>
    </row>
    <row r="377" spans="16:17" x14ac:dyDescent="0.25">
      <c r="P377" s="220"/>
      <c r="Q377" s="366"/>
    </row>
    <row r="378" spans="16:17" x14ac:dyDescent="0.25">
      <c r="P378" s="220"/>
      <c r="Q378" s="366"/>
    </row>
    <row r="379" spans="16:17" x14ac:dyDescent="0.25">
      <c r="P379" s="220"/>
      <c r="Q379" s="366"/>
    </row>
    <row r="380" spans="16:17" x14ac:dyDescent="0.25">
      <c r="P380" s="220"/>
      <c r="Q380" s="366"/>
    </row>
    <row r="381" spans="16:17" x14ac:dyDescent="0.25">
      <c r="P381" s="220"/>
      <c r="Q381" s="366"/>
    </row>
    <row r="382" spans="16:17" x14ac:dyDescent="0.25">
      <c r="P382" s="220"/>
      <c r="Q382" s="366"/>
    </row>
    <row r="383" spans="16:17" x14ac:dyDescent="0.25">
      <c r="P383" s="220"/>
      <c r="Q383" s="366"/>
    </row>
    <row r="384" spans="16:17" x14ac:dyDescent="0.25">
      <c r="P384" s="220"/>
      <c r="Q384" s="366"/>
    </row>
    <row r="385" spans="16:17" x14ac:dyDescent="0.25">
      <c r="P385" s="220"/>
      <c r="Q385" s="366"/>
    </row>
    <row r="386" spans="16:17" x14ac:dyDescent="0.25">
      <c r="P386" s="220"/>
      <c r="Q386" s="366"/>
    </row>
    <row r="387" spans="16:17" x14ac:dyDescent="0.25">
      <c r="P387" s="220"/>
      <c r="Q387" s="366"/>
    </row>
    <row r="388" spans="16:17" x14ac:dyDescent="0.25">
      <c r="P388" s="220"/>
      <c r="Q388" s="366"/>
    </row>
    <row r="389" spans="16:17" x14ac:dyDescent="0.25">
      <c r="P389" s="220"/>
      <c r="Q389" s="366"/>
    </row>
    <row r="390" spans="16:17" x14ac:dyDescent="0.25">
      <c r="P390" s="220"/>
      <c r="Q390" s="366"/>
    </row>
    <row r="391" spans="16:17" x14ac:dyDescent="0.25">
      <c r="P391" s="220"/>
      <c r="Q391" s="366"/>
    </row>
    <row r="392" spans="16:17" x14ac:dyDescent="0.25">
      <c r="P392" s="220"/>
      <c r="Q392" s="366"/>
    </row>
    <row r="393" spans="16:17" x14ac:dyDescent="0.25">
      <c r="P393" s="220"/>
      <c r="Q393" s="366"/>
    </row>
    <row r="394" spans="16:17" x14ac:dyDescent="0.25">
      <c r="P394" s="220"/>
      <c r="Q394" s="366"/>
    </row>
    <row r="395" spans="16:17" x14ac:dyDescent="0.25">
      <c r="P395" s="220"/>
      <c r="Q395" s="366"/>
    </row>
    <row r="396" spans="16:17" x14ac:dyDescent="0.25">
      <c r="P396" s="220"/>
      <c r="Q396" s="366"/>
    </row>
    <row r="397" spans="16:17" x14ac:dyDescent="0.25">
      <c r="P397" s="220"/>
      <c r="Q397" s="366"/>
    </row>
    <row r="398" spans="16:17" x14ac:dyDescent="0.25">
      <c r="P398" s="220"/>
      <c r="Q398" s="366"/>
    </row>
    <row r="399" spans="16:17" x14ac:dyDescent="0.25">
      <c r="P399" s="220"/>
      <c r="Q399" s="366"/>
    </row>
    <row r="400" spans="16:17" x14ac:dyDescent="0.25">
      <c r="P400" s="220"/>
      <c r="Q400" s="366"/>
    </row>
    <row r="401" spans="16:17" x14ac:dyDescent="0.25">
      <c r="P401" s="220"/>
      <c r="Q401" s="366"/>
    </row>
    <row r="402" spans="16:17" x14ac:dyDescent="0.25">
      <c r="P402" s="220"/>
      <c r="Q402" s="366"/>
    </row>
    <row r="403" spans="16:17" x14ac:dyDescent="0.25">
      <c r="P403" s="220"/>
      <c r="Q403" s="366"/>
    </row>
    <row r="404" spans="16:17" x14ac:dyDescent="0.25">
      <c r="P404" s="220"/>
      <c r="Q404" s="366"/>
    </row>
    <row r="405" spans="16:17" x14ac:dyDescent="0.25">
      <c r="P405" s="220"/>
      <c r="Q405" s="366"/>
    </row>
    <row r="406" spans="16:17" x14ac:dyDescent="0.25">
      <c r="P406" s="220"/>
      <c r="Q406" s="366"/>
    </row>
    <row r="407" spans="16:17" x14ac:dyDescent="0.25">
      <c r="P407" s="220"/>
      <c r="Q407" s="366"/>
    </row>
    <row r="408" spans="16:17" x14ac:dyDescent="0.25">
      <c r="P408" s="220"/>
      <c r="Q408" s="366"/>
    </row>
    <row r="409" spans="16:17" x14ac:dyDescent="0.25">
      <c r="P409" s="220"/>
      <c r="Q409" s="366"/>
    </row>
    <row r="410" spans="16:17" x14ac:dyDescent="0.25">
      <c r="P410" s="220"/>
      <c r="Q410" s="366"/>
    </row>
    <row r="411" spans="16:17" x14ac:dyDescent="0.25">
      <c r="P411" s="220"/>
      <c r="Q411" s="366"/>
    </row>
    <row r="412" spans="16:17" x14ac:dyDescent="0.25">
      <c r="P412" s="220"/>
      <c r="Q412" s="366"/>
    </row>
    <row r="413" spans="16:17" x14ac:dyDescent="0.25">
      <c r="P413" s="220"/>
      <c r="Q413" s="366"/>
    </row>
    <row r="414" spans="16:17" x14ac:dyDescent="0.25">
      <c r="P414" s="220"/>
      <c r="Q414" s="366"/>
    </row>
    <row r="415" spans="16:17" x14ac:dyDescent="0.25">
      <c r="P415" s="220"/>
      <c r="Q415" s="366"/>
    </row>
    <row r="416" spans="16:17" x14ac:dyDescent="0.25">
      <c r="P416" s="220"/>
      <c r="Q416" s="366"/>
    </row>
    <row r="417" spans="16:17" x14ac:dyDescent="0.25">
      <c r="P417" s="220"/>
      <c r="Q417" s="366"/>
    </row>
    <row r="418" spans="16:17" x14ac:dyDescent="0.25">
      <c r="P418" s="220"/>
      <c r="Q418" s="366"/>
    </row>
    <row r="419" spans="16:17" x14ac:dyDescent="0.25">
      <c r="P419" s="220"/>
      <c r="Q419" s="366"/>
    </row>
    <row r="420" spans="16:17" x14ac:dyDescent="0.25">
      <c r="P420" s="220"/>
      <c r="Q420" s="366"/>
    </row>
    <row r="421" spans="16:17" x14ac:dyDescent="0.25">
      <c r="P421" s="220"/>
      <c r="Q421" s="366"/>
    </row>
    <row r="422" spans="16:17" x14ac:dyDescent="0.25">
      <c r="P422" s="220"/>
      <c r="Q422" s="366"/>
    </row>
    <row r="423" spans="16:17" x14ac:dyDescent="0.25">
      <c r="P423" s="220"/>
      <c r="Q423" s="366"/>
    </row>
    <row r="424" spans="16:17" x14ac:dyDescent="0.25">
      <c r="P424" s="220"/>
      <c r="Q424" s="366"/>
    </row>
    <row r="425" spans="16:17" x14ac:dyDescent="0.25">
      <c r="P425" s="220"/>
      <c r="Q425" s="366"/>
    </row>
    <row r="426" spans="16:17" x14ac:dyDescent="0.25">
      <c r="P426" s="220"/>
      <c r="Q426" s="366"/>
    </row>
    <row r="427" spans="16:17" x14ac:dyDescent="0.25">
      <c r="P427" s="220"/>
      <c r="Q427" s="366"/>
    </row>
    <row r="428" spans="16:17" x14ac:dyDescent="0.25">
      <c r="P428" s="220"/>
      <c r="Q428" s="366"/>
    </row>
    <row r="429" spans="16:17" x14ac:dyDescent="0.25">
      <c r="P429" s="220"/>
      <c r="Q429" s="366"/>
    </row>
    <row r="430" spans="16:17" x14ac:dyDescent="0.25">
      <c r="P430" s="220"/>
      <c r="Q430" s="366"/>
    </row>
    <row r="431" spans="16:17" x14ac:dyDescent="0.25">
      <c r="P431" s="220"/>
      <c r="Q431" s="366"/>
    </row>
    <row r="432" spans="16:17" x14ac:dyDescent="0.25">
      <c r="P432" s="220"/>
      <c r="Q432" s="366"/>
    </row>
    <row r="433" spans="16:17" x14ac:dyDescent="0.25">
      <c r="P433" s="220"/>
      <c r="Q433" s="366"/>
    </row>
    <row r="434" spans="16:17" x14ac:dyDescent="0.25">
      <c r="P434" s="220"/>
      <c r="Q434" s="366"/>
    </row>
    <row r="435" spans="16:17" x14ac:dyDescent="0.25">
      <c r="P435" s="220"/>
      <c r="Q435" s="366"/>
    </row>
    <row r="436" spans="16:17" x14ac:dyDescent="0.25">
      <c r="P436" s="220"/>
      <c r="Q436" s="366"/>
    </row>
    <row r="437" spans="16:17" x14ac:dyDescent="0.25">
      <c r="P437" s="220"/>
      <c r="Q437" s="366"/>
    </row>
    <row r="438" spans="16:17" x14ac:dyDescent="0.25">
      <c r="P438" s="220"/>
      <c r="Q438" s="366"/>
    </row>
    <row r="439" spans="16:17" x14ac:dyDescent="0.25">
      <c r="P439" s="220"/>
      <c r="Q439" s="366"/>
    </row>
    <row r="440" spans="16:17" x14ac:dyDescent="0.25">
      <c r="P440" s="220"/>
      <c r="Q440" s="366"/>
    </row>
    <row r="441" spans="16:17" x14ac:dyDescent="0.25">
      <c r="P441" s="220"/>
      <c r="Q441" s="366"/>
    </row>
    <row r="442" spans="16:17" x14ac:dyDescent="0.25">
      <c r="P442" s="220"/>
      <c r="Q442" s="366"/>
    </row>
    <row r="443" spans="16:17" x14ac:dyDescent="0.25">
      <c r="P443" s="220"/>
      <c r="Q443" s="366"/>
    </row>
    <row r="444" spans="16:17" x14ac:dyDescent="0.25">
      <c r="P444" s="220"/>
      <c r="Q444" s="366"/>
    </row>
    <row r="445" spans="16:17" x14ac:dyDescent="0.25">
      <c r="P445" s="220"/>
      <c r="Q445" s="366"/>
    </row>
    <row r="446" spans="16:17" x14ac:dyDescent="0.25">
      <c r="P446" s="220"/>
      <c r="Q446" s="366"/>
    </row>
    <row r="447" spans="16:17" x14ac:dyDescent="0.25">
      <c r="P447" s="220"/>
      <c r="Q447" s="366"/>
    </row>
    <row r="448" spans="16:17" x14ac:dyDescent="0.25">
      <c r="P448" s="220"/>
      <c r="Q448" s="366"/>
    </row>
    <row r="449" spans="16:17" x14ac:dyDescent="0.25">
      <c r="P449" s="220"/>
      <c r="Q449" s="366"/>
    </row>
    <row r="450" spans="16:17" x14ac:dyDescent="0.25">
      <c r="P450" s="220"/>
      <c r="Q450" s="366"/>
    </row>
    <row r="451" spans="16:17" x14ac:dyDescent="0.25">
      <c r="P451" s="220"/>
      <c r="Q451" s="366"/>
    </row>
    <row r="452" spans="16:17" x14ac:dyDescent="0.25">
      <c r="P452" s="220"/>
      <c r="Q452" s="366"/>
    </row>
    <row r="453" spans="16:17" x14ac:dyDescent="0.25">
      <c r="P453" s="220"/>
      <c r="Q453" s="366"/>
    </row>
    <row r="454" spans="16:17" x14ac:dyDescent="0.25">
      <c r="P454" s="220"/>
      <c r="Q454" s="366"/>
    </row>
    <row r="455" spans="16:17" x14ac:dyDescent="0.25">
      <c r="P455" s="220"/>
      <c r="Q455" s="366"/>
    </row>
    <row r="456" spans="16:17" x14ac:dyDescent="0.25">
      <c r="P456" s="220"/>
      <c r="Q456" s="366"/>
    </row>
    <row r="457" spans="16:17" x14ac:dyDescent="0.25">
      <c r="P457" s="220"/>
      <c r="Q457" s="366"/>
    </row>
    <row r="458" spans="16:17" x14ac:dyDescent="0.25">
      <c r="P458" s="220"/>
      <c r="Q458" s="366"/>
    </row>
    <row r="459" spans="16:17" x14ac:dyDescent="0.25">
      <c r="P459" s="220"/>
      <c r="Q459" s="366"/>
    </row>
    <row r="460" spans="16:17" x14ac:dyDescent="0.25">
      <c r="P460" s="220"/>
      <c r="Q460" s="366"/>
    </row>
    <row r="461" spans="16:17" x14ac:dyDescent="0.25">
      <c r="P461" s="220"/>
      <c r="Q461" s="366"/>
    </row>
    <row r="462" spans="16:17" x14ac:dyDescent="0.25">
      <c r="P462" s="220"/>
      <c r="Q462" s="366"/>
    </row>
    <row r="463" spans="16:17" x14ac:dyDescent="0.25">
      <c r="P463" s="220"/>
      <c r="Q463" s="366"/>
    </row>
    <row r="464" spans="16:17" x14ac:dyDescent="0.25">
      <c r="P464" s="220"/>
      <c r="Q464" s="366"/>
    </row>
    <row r="465" spans="16:17" x14ac:dyDescent="0.25">
      <c r="P465" s="220"/>
      <c r="Q465" s="366"/>
    </row>
    <row r="466" spans="16:17" x14ac:dyDescent="0.25">
      <c r="P466" s="220"/>
      <c r="Q466" s="366"/>
    </row>
    <row r="467" spans="16:17" x14ac:dyDescent="0.25">
      <c r="P467" s="220"/>
      <c r="Q467" s="366"/>
    </row>
    <row r="468" spans="16:17" x14ac:dyDescent="0.25">
      <c r="P468" s="220"/>
      <c r="Q468" s="366"/>
    </row>
    <row r="469" spans="16:17" x14ac:dyDescent="0.25">
      <c r="P469" s="220"/>
      <c r="Q469" s="366"/>
    </row>
    <row r="470" spans="16:17" x14ac:dyDescent="0.25">
      <c r="P470" s="220"/>
      <c r="Q470" s="366"/>
    </row>
    <row r="471" spans="16:17" x14ac:dyDescent="0.25">
      <c r="P471" s="220"/>
      <c r="Q471" s="366"/>
    </row>
    <row r="472" spans="16:17" x14ac:dyDescent="0.25">
      <c r="P472" s="220"/>
      <c r="Q472" s="366"/>
    </row>
    <row r="473" spans="16:17" x14ac:dyDescent="0.25">
      <c r="P473" s="220"/>
      <c r="Q473" s="366"/>
    </row>
    <row r="474" spans="16:17" x14ac:dyDescent="0.25">
      <c r="P474" s="220"/>
      <c r="Q474" s="366"/>
    </row>
    <row r="475" spans="16:17" x14ac:dyDescent="0.25">
      <c r="P475" s="220"/>
      <c r="Q475" s="366"/>
    </row>
    <row r="476" spans="16:17" x14ac:dyDescent="0.25">
      <c r="P476" s="220"/>
      <c r="Q476" s="366"/>
    </row>
    <row r="477" spans="16:17" x14ac:dyDescent="0.25">
      <c r="P477" s="220"/>
      <c r="Q477" s="366"/>
    </row>
    <row r="478" spans="16:17" x14ac:dyDescent="0.25">
      <c r="P478" s="220"/>
      <c r="Q478" s="366"/>
    </row>
    <row r="479" spans="16:17" x14ac:dyDescent="0.25">
      <c r="P479" s="220"/>
      <c r="Q479" s="366"/>
    </row>
    <row r="480" spans="16:17" x14ac:dyDescent="0.25">
      <c r="P480" s="220"/>
      <c r="Q480" s="366"/>
    </row>
    <row r="481" spans="16:17" x14ac:dyDescent="0.25">
      <c r="P481" s="220"/>
      <c r="Q481" s="366"/>
    </row>
    <row r="482" spans="16:17" x14ac:dyDescent="0.25">
      <c r="P482" s="220"/>
      <c r="Q482" s="366"/>
    </row>
    <row r="483" spans="16:17" x14ac:dyDescent="0.25">
      <c r="P483" s="220"/>
      <c r="Q483" s="366"/>
    </row>
    <row r="484" spans="16:17" x14ac:dyDescent="0.25">
      <c r="P484" s="220"/>
      <c r="Q484" s="366"/>
    </row>
    <row r="485" spans="16:17" x14ac:dyDescent="0.25">
      <c r="P485" s="220"/>
      <c r="Q485" s="366"/>
    </row>
    <row r="486" spans="16:17" x14ac:dyDescent="0.25">
      <c r="P486" s="220"/>
      <c r="Q486" s="366"/>
    </row>
    <row r="487" spans="16:17" x14ac:dyDescent="0.25">
      <c r="P487" s="220"/>
      <c r="Q487" s="366"/>
    </row>
    <row r="488" spans="16:17" x14ac:dyDescent="0.25">
      <c r="P488" s="220"/>
      <c r="Q488" s="366"/>
    </row>
    <row r="489" spans="16:17" x14ac:dyDescent="0.25">
      <c r="P489" s="220"/>
      <c r="Q489" s="366"/>
    </row>
    <row r="490" spans="16:17" x14ac:dyDescent="0.25">
      <c r="P490" s="220"/>
      <c r="Q490" s="366"/>
    </row>
    <row r="491" spans="16:17" x14ac:dyDescent="0.25">
      <c r="P491" s="220"/>
      <c r="Q491" s="366"/>
    </row>
    <row r="492" spans="16:17" x14ac:dyDescent="0.25">
      <c r="P492" s="220"/>
      <c r="Q492" s="366"/>
    </row>
    <row r="493" spans="16:17" x14ac:dyDescent="0.25">
      <c r="P493" s="220"/>
      <c r="Q493" s="366"/>
    </row>
    <row r="494" spans="16:17" x14ac:dyDescent="0.25">
      <c r="P494" s="220"/>
      <c r="Q494" s="366"/>
    </row>
    <row r="495" spans="16:17" x14ac:dyDescent="0.25">
      <c r="P495" s="220"/>
      <c r="Q495" s="366"/>
    </row>
    <row r="496" spans="16:17" x14ac:dyDescent="0.25">
      <c r="P496" s="220"/>
      <c r="Q496" s="366"/>
    </row>
    <row r="497" spans="16:17" x14ac:dyDescent="0.25">
      <c r="P497" s="220"/>
      <c r="Q497" s="366"/>
    </row>
    <row r="498" spans="16:17" x14ac:dyDescent="0.25">
      <c r="P498" s="220"/>
      <c r="Q498" s="366"/>
    </row>
    <row r="499" spans="16:17" x14ac:dyDescent="0.25">
      <c r="P499" s="220"/>
      <c r="Q499" s="366"/>
    </row>
    <row r="500" spans="16:17" x14ac:dyDescent="0.25">
      <c r="P500" s="220"/>
      <c r="Q500" s="366"/>
    </row>
    <row r="501" spans="16:17" x14ac:dyDescent="0.25">
      <c r="P501" s="220"/>
      <c r="Q501" s="366"/>
    </row>
    <row r="502" spans="16:17" x14ac:dyDescent="0.25">
      <c r="P502" s="220"/>
      <c r="Q502" s="366"/>
    </row>
    <row r="503" spans="16:17" x14ac:dyDescent="0.25">
      <c r="P503" s="220"/>
      <c r="Q503" s="366"/>
    </row>
    <row r="504" spans="16:17" x14ac:dyDescent="0.25">
      <c r="P504" s="220"/>
      <c r="Q504" s="366"/>
    </row>
    <row r="505" spans="16:17" x14ac:dyDescent="0.25">
      <c r="P505" s="220"/>
      <c r="Q505" s="366"/>
    </row>
    <row r="506" spans="16:17" x14ac:dyDescent="0.25">
      <c r="P506" s="220"/>
      <c r="Q506" s="366"/>
    </row>
    <row r="507" spans="16:17" x14ac:dyDescent="0.25">
      <c r="P507" s="220"/>
      <c r="Q507" s="366"/>
    </row>
    <row r="508" spans="16:17" x14ac:dyDescent="0.25">
      <c r="P508" s="220"/>
      <c r="Q508" s="366"/>
    </row>
    <row r="509" spans="16:17" x14ac:dyDescent="0.25">
      <c r="P509" s="220"/>
      <c r="Q509" s="366"/>
    </row>
    <row r="510" spans="16:17" x14ac:dyDescent="0.25">
      <c r="P510" s="220"/>
      <c r="Q510" s="366"/>
    </row>
    <row r="511" spans="16:17" x14ac:dyDescent="0.25">
      <c r="P511" s="220"/>
      <c r="Q511" s="366"/>
    </row>
    <row r="512" spans="16:17" x14ac:dyDescent="0.25">
      <c r="P512" s="220"/>
      <c r="Q512" s="366"/>
    </row>
    <row r="513" spans="16:17" x14ac:dyDescent="0.25">
      <c r="P513" s="220"/>
      <c r="Q513" s="366"/>
    </row>
    <row r="514" spans="16:17" x14ac:dyDescent="0.25">
      <c r="P514" s="220"/>
      <c r="Q514" s="366"/>
    </row>
    <row r="515" spans="16:17" x14ac:dyDescent="0.25">
      <c r="P515" s="220"/>
      <c r="Q515" s="366"/>
    </row>
    <row r="516" spans="16:17" x14ac:dyDescent="0.25">
      <c r="P516" s="220"/>
      <c r="Q516" s="366"/>
    </row>
    <row r="517" spans="16:17" x14ac:dyDescent="0.25">
      <c r="P517" s="220"/>
      <c r="Q517" s="366"/>
    </row>
    <row r="518" spans="16:17" x14ac:dyDescent="0.25">
      <c r="P518" s="220"/>
      <c r="Q518" s="366"/>
    </row>
    <row r="519" spans="16:17" x14ac:dyDescent="0.25">
      <c r="P519" s="220"/>
      <c r="Q519" s="366"/>
    </row>
    <row r="520" spans="16:17" x14ac:dyDescent="0.25">
      <c r="P520" s="220"/>
      <c r="Q520" s="366"/>
    </row>
    <row r="521" spans="16:17" x14ac:dyDescent="0.25">
      <c r="P521" s="220"/>
      <c r="Q521" s="366"/>
    </row>
    <row r="522" spans="16:17" x14ac:dyDescent="0.25">
      <c r="P522" s="220"/>
      <c r="Q522" s="366"/>
    </row>
    <row r="523" spans="16:17" x14ac:dyDescent="0.25">
      <c r="P523" s="220"/>
      <c r="Q523" s="366"/>
    </row>
    <row r="524" spans="16:17" x14ac:dyDescent="0.25">
      <c r="P524" s="220"/>
      <c r="Q524" s="366"/>
    </row>
    <row r="525" spans="16:17" x14ac:dyDescent="0.25">
      <c r="P525" s="220"/>
      <c r="Q525" s="366"/>
    </row>
    <row r="526" spans="16:17" x14ac:dyDescent="0.25">
      <c r="P526" s="220"/>
      <c r="Q526" s="366"/>
    </row>
    <row r="527" spans="16:17" x14ac:dyDescent="0.25">
      <c r="P527" s="220"/>
      <c r="Q527" s="366"/>
    </row>
    <row r="528" spans="16:17" x14ac:dyDescent="0.25">
      <c r="P528" s="220"/>
      <c r="Q528" s="366"/>
    </row>
    <row r="529" spans="16:17" x14ac:dyDescent="0.25">
      <c r="P529" s="220"/>
      <c r="Q529" s="366"/>
    </row>
    <row r="530" spans="16:17" x14ac:dyDescent="0.25">
      <c r="P530" s="220"/>
      <c r="Q530" s="366"/>
    </row>
    <row r="531" spans="16:17" x14ac:dyDescent="0.25">
      <c r="P531" s="220"/>
      <c r="Q531" s="366"/>
    </row>
    <row r="532" spans="16:17" x14ac:dyDescent="0.25">
      <c r="P532" s="220"/>
      <c r="Q532" s="366"/>
    </row>
    <row r="533" spans="16:17" x14ac:dyDescent="0.25">
      <c r="P533" s="220"/>
      <c r="Q533" s="366"/>
    </row>
    <row r="534" spans="16:17" x14ac:dyDescent="0.25">
      <c r="P534" s="220"/>
      <c r="Q534" s="366"/>
    </row>
    <row r="535" spans="16:17" x14ac:dyDescent="0.25">
      <c r="P535" s="220"/>
      <c r="Q535" s="366"/>
    </row>
    <row r="536" spans="16:17" x14ac:dyDescent="0.25">
      <c r="P536" s="220"/>
      <c r="Q536" s="366"/>
    </row>
    <row r="537" spans="16:17" x14ac:dyDescent="0.25">
      <c r="P537" s="220"/>
      <c r="Q537" s="366"/>
    </row>
    <row r="538" spans="16:17" x14ac:dyDescent="0.25">
      <c r="P538" s="220"/>
      <c r="Q538" s="366"/>
    </row>
    <row r="539" spans="16:17" x14ac:dyDescent="0.25">
      <c r="P539" s="220"/>
      <c r="Q539" s="366"/>
    </row>
    <row r="540" spans="16:17" x14ac:dyDescent="0.25">
      <c r="P540" s="220"/>
      <c r="Q540" s="366"/>
    </row>
    <row r="541" spans="16:17" x14ac:dyDescent="0.25">
      <c r="P541" s="220"/>
      <c r="Q541" s="366"/>
    </row>
    <row r="542" spans="16:17" x14ac:dyDescent="0.25">
      <c r="P542" s="220"/>
      <c r="Q542" s="366"/>
    </row>
    <row r="543" spans="16:17" x14ac:dyDescent="0.25">
      <c r="P543" s="220"/>
      <c r="Q543" s="366"/>
    </row>
    <row r="544" spans="16:17" x14ac:dyDescent="0.25">
      <c r="P544" s="220"/>
      <c r="Q544" s="366"/>
    </row>
    <row r="545" spans="16:17" x14ac:dyDescent="0.25">
      <c r="P545" s="220"/>
      <c r="Q545" s="366"/>
    </row>
    <row r="546" spans="16:17" x14ac:dyDescent="0.25">
      <c r="P546" s="220"/>
      <c r="Q546" s="366"/>
    </row>
    <row r="547" spans="16:17" x14ac:dyDescent="0.25">
      <c r="P547" s="220"/>
      <c r="Q547" s="366"/>
    </row>
    <row r="548" spans="16:17" x14ac:dyDescent="0.25">
      <c r="P548" s="220"/>
      <c r="Q548" s="366"/>
    </row>
    <row r="549" spans="16:17" x14ac:dyDescent="0.25">
      <c r="P549" s="220"/>
      <c r="Q549" s="366"/>
    </row>
    <row r="550" spans="16:17" x14ac:dyDescent="0.25">
      <c r="P550" s="220"/>
      <c r="Q550" s="366"/>
    </row>
    <row r="551" spans="16:17" x14ac:dyDescent="0.25">
      <c r="P551" s="220"/>
      <c r="Q551" s="366"/>
    </row>
    <row r="552" spans="16:17" x14ac:dyDescent="0.25">
      <c r="P552" s="220"/>
      <c r="Q552" s="366"/>
    </row>
    <row r="553" spans="16:17" x14ac:dyDescent="0.25">
      <c r="P553" s="220"/>
      <c r="Q553" s="366"/>
    </row>
    <row r="554" spans="16:17" x14ac:dyDescent="0.25">
      <c r="P554" s="220"/>
      <c r="Q554" s="366"/>
    </row>
    <row r="555" spans="16:17" x14ac:dyDescent="0.25">
      <c r="P555" s="220"/>
      <c r="Q555" s="366"/>
    </row>
    <row r="556" spans="16:17" x14ac:dyDescent="0.25">
      <c r="P556" s="220"/>
      <c r="Q556" s="366"/>
    </row>
    <row r="557" spans="16:17" x14ac:dyDescent="0.25">
      <c r="P557" s="220"/>
      <c r="Q557" s="366"/>
    </row>
    <row r="558" spans="16:17" x14ac:dyDescent="0.25">
      <c r="P558" s="220"/>
      <c r="Q558" s="366"/>
    </row>
    <row r="559" spans="16:17" x14ac:dyDescent="0.25">
      <c r="P559" s="220"/>
      <c r="Q559" s="366"/>
    </row>
    <row r="560" spans="16:17" x14ac:dyDescent="0.25">
      <c r="P560" s="220"/>
      <c r="Q560" s="366"/>
    </row>
    <row r="561" spans="16:17" x14ac:dyDescent="0.25">
      <c r="P561" s="220"/>
      <c r="Q561" s="366"/>
    </row>
    <row r="562" spans="16:17" x14ac:dyDescent="0.25">
      <c r="P562" s="220"/>
      <c r="Q562" s="366"/>
    </row>
    <row r="563" spans="16:17" x14ac:dyDescent="0.25">
      <c r="P563" s="220"/>
      <c r="Q563" s="366"/>
    </row>
    <row r="564" spans="16:17" x14ac:dyDescent="0.25">
      <c r="P564" s="220"/>
      <c r="Q564" s="366"/>
    </row>
    <row r="565" spans="16:17" x14ac:dyDescent="0.25">
      <c r="P565" s="220"/>
      <c r="Q565" s="366"/>
    </row>
    <row r="566" spans="16:17" x14ac:dyDescent="0.25">
      <c r="P566" s="220"/>
      <c r="Q566" s="366"/>
    </row>
    <row r="567" spans="16:17" x14ac:dyDescent="0.25">
      <c r="P567" s="220"/>
      <c r="Q567" s="366"/>
    </row>
    <row r="568" spans="16:17" x14ac:dyDescent="0.25">
      <c r="P568" s="220"/>
      <c r="Q568" s="366"/>
    </row>
    <row r="569" spans="16:17" x14ac:dyDescent="0.25">
      <c r="P569" s="220"/>
      <c r="Q569" s="366"/>
    </row>
    <row r="570" spans="16:17" x14ac:dyDescent="0.25">
      <c r="P570" s="220"/>
      <c r="Q570" s="366"/>
    </row>
    <row r="571" spans="16:17" x14ac:dyDescent="0.25">
      <c r="P571" s="220"/>
      <c r="Q571" s="366"/>
    </row>
    <row r="572" spans="16:17" x14ac:dyDescent="0.25">
      <c r="P572" s="220"/>
      <c r="Q572" s="366"/>
    </row>
    <row r="573" spans="16:17" x14ac:dyDescent="0.25">
      <c r="P573" s="220"/>
      <c r="Q573" s="366"/>
    </row>
    <row r="574" spans="16:17" x14ac:dyDescent="0.25">
      <c r="P574" s="220"/>
      <c r="Q574" s="366"/>
    </row>
    <row r="575" spans="16:17" x14ac:dyDescent="0.25">
      <c r="P575" s="220"/>
      <c r="Q575" s="366"/>
    </row>
    <row r="576" spans="16:17" x14ac:dyDescent="0.25">
      <c r="P576" s="220"/>
      <c r="Q576" s="366"/>
    </row>
    <row r="577" spans="16:17" x14ac:dyDescent="0.25">
      <c r="P577" s="220"/>
      <c r="Q577" s="366"/>
    </row>
    <row r="578" spans="16:17" x14ac:dyDescent="0.25">
      <c r="P578" s="220"/>
      <c r="Q578" s="366"/>
    </row>
    <row r="579" spans="16:17" x14ac:dyDescent="0.25">
      <c r="P579" s="220"/>
      <c r="Q579" s="366"/>
    </row>
    <row r="580" spans="16:17" x14ac:dyDescent="0.25">
      <c r="P580" s="220"/>
      <c r="Q580" s="366"/>
    </row>
    <row r="581" spans="16:17" x14ac:dyDescent="0.25">
      <c r="P581" s="220"/>
      <c r="Q581" s="366"/>
    </row>
    <row r="582" spans="16:17" x14ac:dyDescent="0.25">
      <c r="P582" s="220"/>
      <c r="Q582" s="366"/>
    </row>
    <row r="583" spans="16:17" x14ac:dyDescent="0.25">
      <c r="P583" s="220"/>
      <c r="Q583" s="366"/>
    </row>
    <row r="584" spans="16:17" x14ac:dyDescent="0.25">
      <c r="P584" s="220"/>
      <c r="Q584" s="366"/>
    </row>
    <row r="585" spans="16:17" x14ac:dyDescent="0.25">
      <c r="P585" s="220"/>
      <c r="Q585" s="366"/>
    </row>
    <row r="586" spans="16:17" x14ac:dyDescent="0.25">
      <c r="P586" s="220"/>
      <c r="Q586" s="366"/>
    </row>
    <row r="587" spans="16:17" x14ac:dyDescent="0.25">
      <c r="P587" s="220"/>
      <c r="Q587" s="366"/>
    </row>
    <row r="588" spans="16:17" x14ac:dyDescent="0.25">
      <c r="P588" s="220"/>
      <c r="Q588" s="366"/>
    </row>
    <row r="589" spans="16:17" x14ac:dyDescent="0.25">
      <c r="P589" s="220"/>
      <c r="Q589" s="366"/>
    </row>
    <row r="590" spans="16:17" x14ac:dyDescent="0.25">
      <c r="P590" s="220"/>
      <c r="Q590" s="366"/>
    </row>
    <row r="591" spans="16:17" x14ac:dyDescent="0.25">
      <c r="P591" s="220"/>
      <c r="Q591" s="366"/>
    </row>
    <row r="592" spans="16:17" x14ac:dyDescent="0.25">
      <c r="P592" s="220"/>
      <c r="Q592" s="366"/>
    </row>
    <row r="593" spans="16:17" x14ac:dyDescent="0.25">
      <c r="P593" s="220"/>
      <c r="Q593" s="366"/>
    </row>
    <row r="594" spans="16:17" x14ac:dyDescent="0.25">
      <c r="P594" s="220"/>
      <c r="Q594" s="366"/>
    </row>
    <row r="595" spans="16:17" x14ac:dyDescent="0.25">
      <c r="P595" s="220"/>
      <c r="Q595" s="366"/>
    </row>
    <row r="596" spans="16:17" x14ac:dyDescent="0.25">
      <c r="P596" s="220"/>
      <c r="Q596" s="366"/>
    </row>
    <row r="597" spans="16:17" x14ac:dyDescent="0.25">
      <c r="P597" s="220"/>
      <c r="Q597" s="366"/>
    </row>
    <row r="598" spans="16:17" x14ac:dyDescent="0.25">
      <c r="P598" s="220"/>
      <c r="Q598" s="366"/>
    </row>
    <row r="599" spans="16:17" x14ac:dyDescent="0.25">
      <c r="P599" s="220"/>
      <c r="Q599" s="366"/>
    </row>
    <row r="600" spans="16:17" x14ac:dyDescent="0.25">
      <c r="P600" s="220"/>
      <c r="Q600" s="366"/>
    </row>
    <row r="601" spans="16:17" x14ac:dyDescent="0.25">
      <c r="P601" s="220"/>
      <c r="Q601" s="366"/>
    </row>
    <row r="602" spans="16:17" x14ac:dyDescent="0.25">
      <c r="P602" s="220"/>
      <c r="Q602" s="366"/>
    </row>
    <row r="603" spans="16:17" x14ac:dyDescent="0.25">
      <c r="P603" s="220"/>
      <c r="Q603" s="366"/>
    </row>
    <row r="604" spans="16:17" x14ac:dyDescent="0.25">
      <c r="P604" s="220"/>
      <c r="Q604" s="366"/>
    </row>
    <row r="605" spans="16:17" x14ac:dyDescent="0.25">
      <c r="P605" s="220"/>
      <c r="Q605" s="366"/>
    </row>
    <row r="606" spans="16:17" x14ac:dyDescent="0.25">
      <c r="P606" s="220"/>
      <c r="Q606" s="366"/>
    </row>
    <row r="607" spans="16:17" x14ac:dyDescent="0.25">
      <c r="P607" s="220"/>
      <c r="Q607" s="366"/>
    </row>
    <row r="608" spans="16:17" x14ac:dyDescent="0.25">
      <c r="P608" s="220"/>
      <c r="Q608" s="366"/>
    </row>
    <row r="609" spans="16:17" x14ac:dyDescent="0.25">
      <c r="P609" s="220"/>
      <c r="Q609" s="366"/>
    </row>
    <row r="610" spans="16:17" x14ac:dyDescent="0.25">
      <c r="P610" s="220"/>
      <c r="Q610" s="366"/>
    </row>
    <row r="611" spans="16:17" x14ac:dyDescent="0.25">
      <c r="P611" s="220"/>
      <c r="Q611" s="366"/>
    </row>
    <row r="612" spans="16:17" x14ac:dyDescent="0.25">
      <c r="P612" s="220"/>
      <c r="Q612" s="366"/>
    </row>
    <row r="613" spans="16:17" x14ac:dyDescent="0.25">
      <c r="P613" s="220"/>
      <c r="Q613" s="366"/>
    </row>
    <row r="614" spans="16:17" x14ac:dyDescent="0.25">
      <c r="P614" s="220"/>
      <c r="Q614" s="366"/>
    </row>
    <row r="615" spans="16:17" x14ac:dyDescent="0.25">
      <c r="P615" s="220"/>
      <c r="Q615" s="366"/>
    </row>
    <row r="616" spans="16:17" x14ac:dyDescent="0.25">
      <c r="P616" s="220"/>
      <c r="Q616" s="366"/>
    </row>
    <row r="617" spans="16:17" x14ac:dyDescent="0.25">
      <c r="P617" s="220"/>
      <c r="Q617" s="366"/>
    </row>
    <row r="618" spans="16:17" x14ac:dyDescent="0.25">
      <c r="P618" s="220"/>
      <c r="Q618" s="366"/>
    </row>
    <row r="619" spans="16:17" x14ac:dyDescent="0.25">
      <c r="P619" s="220"/>
      <c r="Q619" s="366"/>
    </row>
    <row r="620" spans="16:17" x14ac:dyDescent="0.25">
      <c r="P620" s="220"/>
      <c r="Q620" s="366"/>
    </row>
    <row r="621" spans="16:17" x14ac:dyDescent="0.25">
      <c r="P621" s="220"/>
      <c r="Q621" s="366"/>
    </row>
    <row r="622" spans="16:17" x14ac:dyDescent="0.25">
      <c r="P622" s="220"/>
      <c r="Q622" s="366"/>
    </row>
    <row r="623" spans="16:17" x14ac:dyDescent="0.25">
      <c r="P623" s="220"/>
      <c r="Q623" s="366"/>
    </row>
    <row r="624" spans="16:17" x14ac:dyDescent="0.25">
      <c r="P624" s="220"/>
      <c r="Q624" s="366"/>
    </row>
    <row r="625" spans="16:17" x14ac:dyDescent="0.25">
      <c r="P625" s="220"/>
      <c r="Q625" s="366"/>
    </row>
    <row r="626" spans="16:17" x14ac:dyDescent="0.25">
      <c r="P626" s="220"/>
      <c r="Q626" s="366"/>
    </row>
    <row r="627" spans="16:17" x14ac:dyDescent="0.25">
      <c r="P627" s="220"/>
      <c r="Q627" s="366"/>
    </row>
    <row r="628" spans="16:17" x14ac:dyDescent="0.25">
      <c r="P628" s="220"/>
      <c r="Q628" s="366"/>
    </row>
    <row r="629" spans="16:17" x14ac:dyDescent="0.25">
      <c r="P629" s="220"/>
      <c r="Q629" s="366"/>
    </row>
    <row r="630" spans="16:17" x14ac:dyDescent="0.25">
      <c r="P630" s="220"/>
      <c r="Q630" s="366"/>
    </row>
    <row r="631" spans="16:17" x14ac:dyDescent="0.25">
      <c r="P631" s="220"/>
      <c r="Q631" s="366"/>
    </row>
    <row r="632" spans="16:17" x14ac:dyDescent="0.25">
      <c r="P632" s="220"/>
      <c r="Q632" s="366"/>
    </row>
    <row r="633" spans="16:17" x14ac:dyDescent="0.25">
      <c r="P633" s="220"/>
      <c r="Q633" s="366"/>
    </row>
    <row r="634" spans="16:17" x14ac:dyDescent="0.25">
      <c r="P634" s="220"/>
      <c r="Q634" s="366"/>
    </row>
    <row r="635" spans="16:17" x14ac:dyDescent="0.25">
      <c r="P635" s="220"/>
      <c r="Q635" s="366"/>
    </row>
    <row r="636" spans="16:17" x14ac:dyDescent="0.25">
      <c r="P636" s="220"/>
      <c r="Q636" s="366"/>
    </row>
    <row r="637" spans="16:17" x14ac:dyDescent="0.25">
      <c r="P637" s="220"/>
      <c r="Q637" s="366"/>
    </row>
    <row r="638" spans="16:17" x14ac:dyDescent="0.25">
      <c r="P638" s="220"/>
      <c r="Q638" s="366"/>
    </row>
    <row r="639" spans="16:17" x14ac:dyDescent="0.25">
      <c r="P639" s="220"/>
      <c r="Q639" s="366"/>
    </row>
    <row r="640" spans="16:17" x14ac:dyDescent="0.25">
      <c r="P640" s="220"/>
      <c r="Q640" s="366"/>
    </row>
    <row r="641" spans="16:17" x14ac:dyDescent="0.25">
      <c r="P641" s="220"/>
      <c r="Q641" s="366"/>
    </row>
    <row r="642" spans="16:17" x14ac:dyDescent="0.25">
      <c r="P642" s="220"/>
      <c r="Q642" s="366"/>
    </row>
    <row r="643" spans="16:17" x14ac:dyDescent="0.25">
      <c r="P643" s="220"/>
      <c r="Q643" s="366"/>
    </row>
    <row r="644" spans="16:17" x14ac:dyDescent="0.25">
      <c r="P644" s="220"/>
      <c r="Q644" s="366"/>
    </row>
    <row r="645" spans="16:17" x14ac:dyDescent="0.25">
      <c r="P645" s="220"/>
      <c r="Q645" s="366"/>
    </row>
    <row r="646" spans="16:17" x14ac:dyDescent="0.25">
      <c r="P646" s="220"/>
      <c r="Q646" s="366"/>
    </row>
    <row r="647" spans="16:17" x14ac:dyDescent="0.25">
      <c r="P647" s="220"/>
      <c r="Q647" s="366"/>
    </row>
    <row r="648" spans="16:17" x14ac:dyDescent="0.25">
      <c r="P648" s="220"/>
      <c r="Q648" s="366"/>
    </row>
    <row r="649" spans="16:17" x14ac:dyDescent="0.25">
      <c r="P649" s="220"/>
      <c r="Q649" s="366"/>
    </row>
    <row r="650" spans="16:17" x14ac:dyDescent="0.25">
      <c r="P650" s="220"/>
      <c r="Q650" s="366"/>
    </row>
    <row r="651" spans="16:17" x14ac:dyDescent="0.25">
      <c r="P651" s="220"/>
      <c r="Q651" s="366"/>
    </row>
    <row r="652" spans="16:17" x14ac:dyDescent="0.25">
      <c r="P652" s="220"/>
      <c r="Q652" s="366"/>
    </row>
    <row r="653" spans="16:17" x14ac:dyDescent="0.25">
      <c r="P653" s="220"/>
      <c r="Q653" s="366"/>
    </row>
    <row r="654" spans="16:17" x14ac:dyDescent="0.25">
      <c r="P654" s="220"/>
      <c r="Q654" s="366"/>
    </row>
    <row r="655" spans="16:17" x14ac:dyDescent="0.25">
      <c r="P655" s="220"/>
      <c r="Q655" s="366"/>
    </row>
    <row r="656" spans="16:17" x14ac:dyDescent="0.25">
      <c r="P656" s="220"/>
      <c r="Q656" s="366"/>
    </row>
    <row r="657" spans="16:17" x14ac:dyDescent="0.25">
      <c r="P657" s="220"/>
      <c r="Q657" s="366"/>
    </row>
    <row r="658" spans="16:17" x14ac:dyDescent="0.25">
      <c r="P658" s="220"/>
      <c r="Q658" s="366"/>
    </row>
    <row r="659" spans="16:17" x14ac:dyDescent="0.25">
      <c r="P659" s="220"/>
      <c r="Q659" s="366"/>
    </row>
    <row r="660" spans="16:17" x14ac:dyDescent="0.25">
      <c r="P660" s="220"/>
      <c r="Q660" s="366"/>
    </row>
    <row r="661" spans="16:17" x14ac:dyDescent="0.25">
      <c r="P661" s="220"/>
      <c r="Q661" s="366"/>
    </row>
    <row r="662" spans="16:17" x14ac:dyDescent="0.25">
      <c r="P662" s="220"/>
      <c r="Q662" s="366"/>
    </row>
    <row r="663" spans="16:17" x14ac:dyDescent="0.25">
      <c r="P663" s="220"/>
      <c r="Q663" s="366"/>
    </row>
    <row r="664" spans="16:17" x14ac:dyDescent="0.25">
      <c r="P664" s="220"/>
      <c r="Q664" s="366"/>
    </row>
    <row r="665" spans="16:17" x14ac:dyDescent="0.25">
      <c r="P665" s="220"/>
      <c r="Q665" s="366"/>
    </row>
    <row r="666" spans="16:17" x14ac:dyDescent="0.25">
      <c r="P666" s="220"/>
      <c r="Q666" s="366"/>
    </row>
    <row r="667" spans="16:17" x14ac:dyDescent="0.25">
      <c r="P667" s="220"/>
      <c r="Q667" s="366"/>
    </row>
    <row r="668" spans="16:17" x14ac:dyDescent="0.25">
      <c r="P668" s="220"/>
      <c r="Q668" s="366"/>
    </row>
    <row r="669" spans="16:17" x14ac:dyDescent="0.25">
      <c r="P669" s="220"/>
      <c r="Q669" s="366"/>
    </row>
    <row r="670" spans="16:17" x14ac:dyDescent="0.25">
      <c r="P670" s="220"/>
      <c r="Q670" s="366"/>
    </row>
    <row r="671" spans="16:17" x14ac:dyDescent="0.25">
      <c r="P671" s="220"/>
      <c r="Q671" s="366"/>
    </row>
    <row r="672" spans="16:17" x14ac:dyDescent="0.25">
      <c r="P672" s="220"/>
      <c r="Q672" s="366"/>
    </row>
    <row r="673" spans="16:17" x14ac:dyDescent="0.25">
      <c r="P673" s="220"/>
      <c r="Q673" s="366"/>
    </row>
    <row r="674" spans="16:17" x14ac:dyDescent="0.25">
      <c r="P674" s="220"/>
      <c r="Q674" s="366"/>
    </row>
    <row r="675" spans="16:17" x14ac:dyDescent="0.25">
      <c r="P675" s="220"/>
      <c r="Q675" s="366"/>
    </row>
    <row r="676" spans="16:17" x14ac:dyDescent="0.25">
      <c r="P676" s="220"/>
      <c r="Q676" s="366"/>
    </row>
    <row r="677" spans="16:17" x14ac:dyDescent="0.25">
      <c r="P677" s="220"/>
      <c r="Q677" s="366"/>
    </row>
    <row r="678" spans="16:17" x14ac:dyDescent="0.25">
      <c r="P678" s="220"/>
      <c r="Q678" s="366"/>
    </row>
    <row r="679" spans="16:17" x14ac:dyDescent="0.25">
      <c r="P679" s="220"/>
      <c r="Q679" s="366"/>
    </row>
    <row r="680" spans="16:17" x14ac:dyDescent="0.25">
      <c r="P680" s="220"/>
      <c r="Q680" s="366"/>
    </row>
    <row r="681" spans="16:17" x14ac:dyDescent="0.25">
      <c r="P681" s="220"/>
      <c r="Q681" s="366"/>
    </row>
    <row r="682" spans="16:17" x14ac:dyDescent="0.25">
      <c r="P682" s="220"/>
      <c r="Q682" s="366"/>
    </row>
    <row r="683" spans="16:17" x14ac:dyDescent="0.25">
      <c r="P683" s="220"/>
      <c r="Q683" s="366"/>
    </row>
    <row r="684" spans="16:17" x14ac:dyDescent="0.25">
      <c r="P684" s="220"/>
      <c r="Q684" s="366"/>
    </row>
    <row r="685" spans="16:17" x14ac:dyDescent="0.25">
      <c r="P685" s="220"/>
      <c r="Q685" s="366"/>
    </row>
    <row r="686" spans="16:17" x14ac:dyDescent="0.25">
      <c r="P686" s="220"/>
      <c r="Q686" s="366"/>
    </row>
    <row r="687" spans="16:17" x14ac:dyDescent="0.25">
      <c r="P687" s="220"/>
      <c r="Q687" s="366"/>
    </row>
    <row r="688" spans="16:17" x14ac:dyDescent="0.25">
      <c r="P688" s="220"/>
      <c r="Q688" s="366"/>
    </row>
    <row r="689" spans="16:17" x14ac:dyDescent="0.25">
      <c r="P689" s="220"/>
      <c r="Q689" s="366"/>
    </row>
    <row r="690" spans="16:17" x14ac:dyDescent="0.25">
      <c r="P690" s="220"/>
      <c r="Q690" s="366"/>
    </row>
    <row r="691" spans="16:17" x14ac:dyDescent="0.25">
      <c r="P691" s="220"/>
      <c r="Q691" s="366"/>
    </row>
    <row r="692" spans="16:17" x14ac:dyDescent="0.25">
      <c r="P692" s="220"/>
      <c r="Q692" s="366"/>
    </row>
    <row r="693" spans="16:17" x14ac:dyDescent="0.25">
      <c r="P693" s="220"/>
      <c r="Q693" s="366"/>
    </row>
    <row r="694" spans="16:17" x14ac:dyDescent="0.25">
      <c r="P694" s="220"/>
      <c r="Q694" s="366"/>
    </row>
    <row r="695" spans="16:17" x14ac:dyDescent="0.25">
      <c r="P695" s="220"/>
      <c r="Q695" s="366"/>
    </row>
    <row r="696" spans="16:17" x14ac:dyDescent="0.25">
      <c r="P696" s="220"/>
      <c r="Q696" s="366"/>
    </row>
    <row r="697" spans="16:17" x14ac:dyDescent="0.25">
      <c r="P697" s="220"/>
      <c r="Q697" s="366"/>
    </row>
    <row r="698" spans="16:17" x14ac:dyDescent="0.25">
      <c r="P698" s="220"/>
      <c r="Q698" s="366"/>
    </row>
    <row r="699" spans="16:17" x14ac:dyDescent="0.25">
      <c r="P699" s="220"/>
      <c r="Q699" s="366"/>
    </row>
    <row r="700" spans="16:17" x14ac:dyDescent="0.25">
      <c r="P700" s="220"/>
      <c r="Q700" s="366"/>
    </row>
    <row r="701" spans="16:17" x14ac:dyDescent="0.25">
      <c r="P701" s="220"/>
      <c r="Q701" s="366"/>
    </row>
    <row r="702" spans="16:17" x14ac:dyDescent="0.25">
      <c r="P702" s="220"/>
      <c r="Q702" s="366"/>
    </row>
    <row r="703" spans="16:17" x14ac:dyDescent="0.25">
      <c r="P703" s="220"/>
      <c r="Q703" s="366"/>
    </row>
    <row r="704" spans="16:17" x14ac:dyDescent="0.25">
      <c r="P704" s="220"/>
      <c r="Q704" s="366"/>
    </row>
    <row r="705" spans="16:17" x14ac:dyDescent="0.25">
      <c r="P705" s="220"/>
      <c r="Q705" s="366"/>
    </row>
    <row r="706" spans="16:17" x14ac:dyDescent="0.25">
      <c r="P706" s="220"/>
      <c r="Q706" s="366"/>
    </row>
    <row r="707" spans="16:17" x14ac:dyDescent="0.25">
      <c r="P707" s="220"/>
      <c r="Q707" s="366"/>
    </row>
    <row r="708" spans="16:17" x14ac:dyDescent="0.25">
      <c r="P708" s="220"/>
      <c r="Q708" s="366"/>
    </row>
    <row r="709" spans="16:17" x14ac:dyDescent="0.25">
      <c r="P709" s="220"/>
      <c r="Q709" s="366"/>
    </row>
    <row r="710" spans="16:17" x14ac:dyDescent="0.25">
      <c r="P710" s="220"/>
      <c r="Q710" s="366"/>
    </row>
    <row r="711" spans="16:17" x14ac:dyDescent="0.25">
      <c r="P711" s="220"/>
      <c r="Q711" s="366"/>
    </row>
    <row r="712" spans="16:17" x14ac:dyDescent="0.25">
      <c r="P712" s="220"/>
      <c r="Q712" s="366"/>
    </row>
    <row r="713" spans="16:17" x14ac:dyDescent="0.25">
      <c r="P713" s="220"/>
      <c r="Q713" s="366"/>
    </row>
    <row r="714" spans="16:17" x14ac:dyDescent="0.25">
      <c r="P714" s="220"/>
      <c r="Q714" s="366"/>
    </row>
    <row r="715" spans="16:17" x14ac:dyDescent="0.25">
      <c r="P715" s="220"/>
      <c r="Q715" s="366"/>
    </row>
    <row r="716" spans="16:17" x14ac:dyDescent="0.25">
      <c r="P716" s="220"/>
      <c r="Q716" s="366"/>
    </row>
    <row r="717" spans="16:17" x14ac:dyDescent="0.25">
      <c r="P717" s="220"/>
      <c r="Q717" s="366"/>
    </row>
    <row r="718" spans="16:17" x14ac:dyDescent="0.25">
      <c r="P718" s="220"/>
      <c r="Q718" s="366"/>
    </row>
    <row r="719" spans="16:17" x14ac:dyDescent="0.25">
      <c r="P719" s="220"/>
      <c r="Q719" s="366"/>
    </row>
    <row r="720" spans="16:17" x14ac:dyDescent="0.25">
      <c r="P720" s="220"/>
      <c r="Q720" s="366"/>
    </row>
    <row r="721" spans="16:17" x14ac:dyDescent="0.25">
      <c r="P721" s="220"/>
      <c r="Q721" s="366"/>
    </row>
    <row r="722" spans="16:17" x14ac:dyDescent="0.25">
      <c r="P722" s="220"/>
      <c r="Q722" s="366"/>
    </row>
    <row r="723" spans="16:17" x14ac:dyDescent="0.25">
      <c r="P723" s="220"/>
      <c r="Q723" s="366"/>
    </row>
    <row r="724" spans="16:17" x14ac:dyDescent="0.25">
      <c r="P724" s="220"/>
      <c r="Q724" s="366"/>
    </row>
    <row r="725" spans="16:17" x14ac:dyDescent="0.25">
      <c r="P725" s="220"/>
      <c r="Q725" s="366"/>
    </row>
    <row r="726" spans="16:17" x14ac:dyDescent="0.25">
      <c r="P726" s="220"/>
      <c r="Q726" s="366"/>
    </row>
    <row r="727" spans="16:17" x14ac:dyDescent="0.25">
      <c r="P727" s="220"/>
      <c r="Q727" s="366"/>
    </row>
    <row r="728" spans="16:17" x14ac:dyDescent="0.25">
      <c r="P728" s="220"/>
      <c r="Q728" s="366"/>
    </row>
    <row r="729" spans="16:17" x14ac:dyDescent="0.25">
      <c r="P729" s="220"/>
      <c r="Q729" s="366"/>
    </row>
    <row r="730" spans="16:17" x14ac:dyDescent="0.25">
      <c r="P730" s="220"/>
      <c r="Q730" s="366"/>
    </row>
    <row r="731" spans="16:17" x14ac:dyDescent="0.25">
      <c r="P731" s="220"/>
      <c r="Q731" s="366"/>
    </row>
    <row r="732" spans="16:17" x14ac:dyDescent="0.25">
      <c r="P732" s="220"/>
      <c r="Q732" s="366"/>
    </row>
    <row r="733" spans="16:17" x14ac:dyDescent="0.25">
      <c r="P733" s="220"/>
      <c r="Q733" s="366"/>
    </row>
    <row r="734" spans="16:17" x14ac:dyDescent="0.25">
      <c r="P734" s="220"/>
      <c r="Q734" s="366"/>
    </row>
    <row r="735" spans="16:17" x14ac:dyDescent="0.25">
      <c r="P735" s="220"/>
      <c r="Q735" s="366"/>
    </row>
    <row r="736" spans="16:17" x14ac:dyDescent="0.25">
      <c r="P736" s="220"/>
      <c r="Q736" s="366"/>
    </row>
    <row r="737" spans="16:17" x14ac:dyDescent="0.25">
      <c r="P737" s="220"/>
      <c r="Q737" s="366"/>
    </row>
    <row r="738" spans="16:17" x14ac:dyDescent="0.25">
      <c r="P738" s="220"/>
      <c r="Q738" s="366"/>
    </row>
    <row r="739" spans="16:17" x14ac:dyDescent="0.25">
      <c r="P739" s="220"/>
      <c r="Q739" s="366"/>
    </row>
    <row r="740" spans="16:17" x14ac:dyDescent="0.25">
      <c r="P740" s="220"/>
      <c r="Q740" s="366"/>
    </row>
    <row r="741" spans="16:17" x14ac:dyDescent="0.25">
      <c r="P741" s="220"/>
      <c r="Q741" s="366"/>
    </row>
    <row r="742" spans="16:17" x14ac:dyDescent="0.25">
      <c r="P742" s="220"/>
      <c r="Q742" s="366"/>
    </row>
    <row r="743" spans="16:17" x14ac:dyDescent="0.25">
      <c r="P743" s="220"/>
      <c r="Q743" s="366"/>
    </row>
    <row r="744" spans="16:17" x14ac:dyDescent="0.25">
      <c r="P744" s="220"/>
      <c r="Q744" s="366"/>
    </row>
    <row r="745" spans="16:17" x14ac:dyDescent="0.25">
      <c r="P745" s="220"/>
      <c r="Q745" s="366"/>
    </row>
    <row r="746" spans="16:17" x14ac:dyDescent="0.25">
      <c r="P746" s="220"/>
      <c r="Q746" s="366"/>
    </row>
    <row r="747" spans="16:17" x14ac:dyDescent="0.25">
      <c r="P747" s="220"/>
      <c r="Q747" s="366"/>
    </row>
    <row r="748" spans="16:17" x14ac:dyDescent="0.25">
      <c r="P748" s="220"/>
      <c r="Q748" s="366"/>
    </row>
    <row r="749" spans="16:17" x14ac:dyDescent="0.25">
      <c r="P749" s="220"/>
      <c r="Q749" s="366"/>
    </row>
    <row r="750" spans="16:17" x14ac:dyDescent="0.25">
      <c r="P750" s="220"/>
      <c r="Q750" s="366"/>
    </row>
    <row r="751" spans="16:17" x14ac:dyDescent="0.25">
      <c r="P751" s="220"/>
      <c r="Q751" s="366"/>
    </row>
    <row r="752" spans="16:17" x14ac:dyDescent="0.25">
      <c r="P752" s="220"/>
      <c r="Q752" s="366"/>
    </row>
    <row r="753" spans="16:17" x14ac:dyDescent="0.25">
      <c r="P753" s="220"/>
      <c r="Q753" s="366"/>
    </row>
    <row r="754" spans="16:17" x14ac:dyDescent="0.25">
      <c r="P754" s="220"/>
      <c r="Q754" s="366"/>
    </row>
    <row r="755" spans="16:17" x14ac:dyDescent="0.25">
      <c r="P755" s="220"/>
      <c r="Q755" s="366"/>
    </row>
    <row r="756" spans="16:17" x14ac:dyDescent="0.25">
      <c r="P756" s="220"/>
      <c r="Q756" s="366"/>
    </row>
    <row r="757" spans="16:17" x14ac:dyDescent="0.25">
      <c r="P757" s="220"/>
      <c r="Q757" s="366"/>
    </row>
    <row r="758" spans="16:17" x14ac:dyDescent="0.25">
      <c r="P758" s="220"/>
      <c r="Q758" s="366"/>
    </row>
    <row r="759" spans="16:17" x14ac:dyDescent="0.25">
      <c r="P759" s="220"/>
      <c r="Q759" s="366"/>
    </row>
    <row r="760" spans="16:17" x14ac:dyDescent="0.25">
      <c r="P760" s="220"/>
      <c r="Q760" s="366"/>
    </row>
    <row r="761" spans="16:17" x14ac:dyDescent="0.25">
      <c r="P761" s="220"/>
      <c r="Q761" s="366"/>
    </row>
    <row r="762" spans="16:17" x14ac:dyDescent="0.25">
      <c r="P762" s="220"/>
      <c r="Q762" s="366"/>
    </row>
    <row r="763" spans="16:17" x14ac:dyDescent="0.25">
      <c r="P763" s="220"/>
      <c r="Q763" s="366"/>
    </row>
    <row r="764" spans="16:17" x14ac:dyDescent="0.25">
      <c r="P764" s="220"/>
      <c r="Q764" s="366"/>
    </row>
    <row r="765" spans="16:17" x14ac:dyDescent="0.25">
      <c r="P765" s="220"/>
      <c r="Q765" s="366"/>
    </row>
    <row r="766" spans="16:17" x14ac:dyDescent="0.25">
      <c r="P766" s="220"/>
      <c r="Q766" s="366"/>
    </row>
    <row r="767" spans="16:17" x14ac:dyDescent="0.25">
      <c r="P767" s="220"/>
      <c r="Q767" s="366"/>
    </row>
    <row r="768" spans="16:17" x14ac:dyDescent="0.25">
      <c r="P768" s="220"/>
      <c r="Q768" s="366"/>
    </row>
    <row r="769" spans="16:17" x14ac:dyDescent="0.25">
      <c r="P769" s="220"/>
      <c r="Q769" s="366"/>
    </row>
    <row r="770" spans="16:17" x14ac:dyDescent="0.25">
      <c r="P770" s="220"/>
      <c r="Q770" s="366"/>
    </row>
    <row r="771" spans="16:17" x14ac:dyDescent="0.25">
      <c r="P771" s="220"/>
      <c r="Q771" s="366"/>
    </row>
    <row r="772" spans="16:17" x14ac:dyDescent="0.25">
      <c r="P772" s="220"/>
      <c r="Q772" s="366"/>
    </row>
    <row r="773" spans="16:17" x14ac:dyDescent="0.25">
      <c r="P773" s="220"/>
      <c r="Q773" s="366"/>
    </row>
    <row r="774" spans="16:17" x14ac:dyDescent="0.25">
      <c r="P774" s="220"/>
      <c r="Q774" s="366"/>
    </row>
    <row r="775" spans="16:17" x14ac:dyDescent="0.25">
      <c r="P775" s="220"/>
      <c r="Q775" s="366"/>
    </row>
    <row r="776" spans="16:17" x14ac:dyDescent="0.25">
      <c r="P776" s="220"/>
      <c r="Q776" s="366"/>
    </row>
    <row r="777" spans="16:17" x14ac:dyDescent="0.25">
      <c r="P777" s="220"/>
      <c r="Q777" s="366"/>
    </row>
    <row r="778" spans="16:17" x14ac:dyDescent="0.25">
      <c r="P778" s="220"/>
      <c r="Q778" s="366"/>
    </row>
    <row r="779" spans="16:17" x14ac:dyDescent="0.25">
      <c r="P779" s="220"/>
      <c r="Q779" s="366"/>
    </row>
    <row r="780" spans="16:17" x14ac:dyDescent="0.25">
      <c r="P780" s="220"/>
      <c r="Q780" s="366"/>
    </row>
    <row r="781" spans="16:17" x14ac:dyDescent="0.25">
      <c r="P781" s="220"/>
      <c r="Q781" s="366"/>
    </row>
    <row r="782" spans="16:17" x14ac:dyDescent="0.25">
      <c r="P782" s="220"/>
      <c r="Q782" s="366"/>
    </row>
    <row r="783" spans="16:17" x14ac:dyDescent="0.25">
      <c r="P783" s="220"/>
      <c r="Q783" s="366"/>
    </row>
    <row r="784" spans="16:17" x14ac:dyDescent="0.25">
      <c r="P784" s="220"/>
      <c r="Q784" s="366"/>
    </row>
    <row r="785" spans="16:17" x14ac:dyDescent="0.25">
      <c r="P785" s="220"/>
      <c r="Q785" s="366"/>
    </row>
    <row r="786" spans="16:17" x14ac:dyDescent="0.25">
      <c r="P786" s="220"/>
      <c r="Q786" s="366"/>
    </row>
    <row r="787" spans="16:17" x14ac:dyDescent="0.25">
      <c r="P787" s="220"/>
      <c r="Q787" s="366"/>
    </row>
    <row r="788" spans="16:17" x14ac:dyDescent="0.25">
      <c r="P788" s="220"/>
      <c r="Q788" s="366"/>
    </row>
    <row r="789" spans="16:17" x14ac:dyDescent="0.25">
      <c r="P789" s="220"/>
      <c r="Q789" s="366"/>
    </row>
    <row r="790" spans="16:17" x14ac:dyDescent="0.25">
      <c r="P790" s="220"/>
      <c r="Q790" s="366"/>
    </row>
    <row r="791" spans="16:17" x14ac:dyDescent="0.25">
      <c r="P791" s="220"/>
      <c r="Q791" s="366"/>
    </row>
    <row r="792" spans="16:17" x14ac:dyDescent="0.25">
      <c r="P792" s="220"/>
      <c r="Q792" s="366"/>
    </row>
    <row r="793" spans="16:17" x14ac:dyDescent="0.25">
      <c r="P793" s="220"/>
      <c r="Q793" s="366"/>
    </row>
    <row r="794" spans="16:17" x14ac:dyDescent="0.25">
      <c r="P794" s="220"/>
      <c r="Q794" s="366"/>
    </row>
    <row r="795" spans="16:17" x14ac:dyDescent="0.25">
      <c r="P795" s="220"/>
      <c r="Q795" s="366"/>
    </row>
    <row r="796" spans="16:17" x14ac:dyDescent="0.25">
      <c r="P796" s="220"/>
      <c r="Q796" s="366"/>
    </row>
    <row r="797" spans="16:17" x14ac:dyDescent="0.25">
      <c r="P797" s="220"/>
      <c r="Q797" s="366"/>
    </row>
    <row r="798" spans="16:17" x14ac:dyDescent="0.25">
      <c r="P798" s="220"/>
      <c r="Q798" s="366"/>
    </row>
    <row r="799" spans="16:17" x14ac:dyDescent="0.25">
      <c r="P799" s="220"/>
      <c r="Q799" s="366"/>
    </row>
    <row r="800" spans="16:17" x14ac:dyDescent="0.25">
      <c r="P800" s="220"/>
      <c r="Q800" s="366"/>
    </row>
    <row r="801" spans="16:17" x14ac:dyDescent="0.25">
      <c r="P801" s="220"/>
      <c r="Q801" s="366"/>
    </row>
    <row r="802" spans="16:17" x14ac:dyDescent="0.25">
      <c r="P802" s="220"/>
      <c r="Q802" s="366"/>
    </row>
    <row r="803" spans="16:17" x14ac:dyDescent="0.25">
      <c r="P803" s="220"/>
      <c r="Q803" s="366"/>
    </row>
    <row r="804" spans="16:17" x14ac:dyDescent="0.25">
      <c r="P804" s="220"/>
      <c r="Q804" s="366"/>
    </row>
    <row r="805" spans="16:17" x14ac:dyDescent="0.25">
      <c r="P805" s="220"/>
      <c r="Q805" s="366"/>
    </row>
    <row r="806" spans="16:17" x14ac:dyDescent="0.25">
      <c r="P806" s="220"/>
      <c r="Q806" s="366"/>
    </row>
    <row r="807" spans="16:17" x14ac:dyDescent="0.25">
      <c r="P807" s="220"/>
      <c r="Q807" s="366"/>
    </row>
    <row r="808" spans="16:17" x14ac:dyDescent="0.25">
      <c r="P808" s="220"/>
      <c r="Q808" s="366"/>
    </row>
    <row r="809" spans="16:17" x14ac:dyDescent="0.25">
      <c r="P809" s="220"/>
      <c r="Q809" s="366"/>
    </row>
    <row r="810" spans="16:17" x14ac:dyDescent="0.25">
      <c r="P810" s="220"/>
      <c r="Q810" s="366"/>
    </row>
    <row r="811" spans="16:17" x14ac:dyDescent="0.25">
      <c r="P811" s="220"/>
      <c r="Q811" s="366"/>
    </row>
    <row r="812" spans="16:17" x14ac:dyDescent="0.25">
      <c r="P812" s="220"/>
      <c r="Q812" s="366"/>
    </row>
    <row r="813" spans="16:17" x14ac:dyDescent="0.25">
      <c r="P813" s="220"/>
      <c r="Q813" s="366"/>
    </row>
    <row r="814" spans="16:17" x14ac:dyDescent="0.25">
      <c r="P814" s="220"/>
      <c r="Q814" s="366"/>
    </row>
    <row r="815" spans="16:17" x14ac:dyDescent="0.25">
      <c r="P815" s="220"/>
      <c r="Q815" s="366"/>
    </row>
    <row r="816" spans="16:17" x14ac:dyDescent="0.25">
      <c r="P816" s="220"/>
      <c r="Q816" s="366"/>
    </row>
    <row r="817" spans="16:17" x14ac:dyDescent="0.25">
      <c r="P817" s="220"/>
      <c r="Q817" s="366"/>
    </row>
    <row r="818" spans="16:17" x14ac:dyDescent="0.25">
      <c r="P818" s="220"/>
      <c r="Q818" s="366"/>
    </row>
    <row r="819" spans="16:17" x14ac:dyDescent="0.25">
      <c r="P819" s="220"/>
      <c r="Q819" s="366"/>
    </row>
    <row r="820" spans="16:17" x14ac:dyDescent="0.25">
      <c r="P820" s="220"/>
      <c r="Q820" s="366"/>
    </row>
    <row r="821" spans="16:17" x14ac:dyDescent="0.25">
      <c r="P821" s="220"/>
      <c r="Q821" s="366"/>
    </row>
    <row r="822" spans="16:17" x14ac:dyDescent="0.25">
      <c r="P822" s="220"/>
      <c r="Q822" s="366"/>
    </row>
    <row r="823" spans="16:17" x14ac:dyDescent="0.25">
      <c r="P823" s="220"/>
      <c r="Q823" s="366"/>
    </row>
    <row r="824" spans="16:17" x14ac:dyDescent="0.25">
      <c r="P824" s="220"/>
      <c r="Q824" s="366"/>
    </row>
    <row r="825" spans="16:17" x14ac:dyDescent="0.25">
      <c r="P825" s="220"/>
      <c r="Q825" s="366"/>
    </row>
    <row r="826" spans="16:17" x14ac:dyDescent="0.25">
      <c r="P826" s="220"/>
      <c r="Q826" s="366"/>
    </row>
    <row r="827" spans="16:17" x14ac:dyDescent="0.25">
      <c r="P827" s="220"/>
      <c r="Q827" s="366"/>
    </row>
    <row r="828" spans="16:17" x14ac:dyDescent="0.25">
      <c r="P828" s="220"/>
      <c r="Q828" s="366"/>
    </row>
    <row r="829" spans="16:17" x14ac:dyDescent="0.25">
      <c r="P829" s="220"/>
      <c r="Q829" s="366"/>
    </row>
    <row r="830" spans="16:17" x14ac:dyDescent="0.25">
      <c r="P830" s="220"/>
      <c r="Q830" s="366"/>
    </row>
    <row r="831" spans="16:17" x14ac:dyDescent="0.25">
      <c r="P831" s="220"/>
      <c r="Q831" s="366"/>
    </row>
    <row r="832" spans="16:17" x14ac:dyDescent="0.25">
      <c r="P832" s="220"/>
      <c r="Q832" s="366"/>
    </row>
    <row r="833" spans="16:17" x14ac:dyDescent="0.25">
      <c r="P833" s="220"/>
      <c r="Q833" s="366"/>
    </row>
    <row r="834" spans="16:17" x14ac:dyDescent="0.25">
      <c r="P834" s="220"/>
      <c r="Q834" s="366"/>
    </row>
    <row r="835" spans="16:17" x14ac:dyDescent="0.25">
      <c r="P835" s="220"/>
      <c r="Q835" s="366"/>
    </row>
    <row r="836" spans="16:17" x14ac:dyDescent="0.25">
      <c r="P836" s="220"/>
      <c r="Q836" s="366"/>
    </row>
    <row r="837" spans="16:17" x14ac:dyDescent="0.25">
      <c r="P837" s="220"/>
      <c r="Q837" s="366"/>
    </row>
    <row r="838" spans="16:17" x14ac:dyDescent="0.25">
      <c r="P838" s="220"/>
      <c r="Q838" s="366"/>
    </row>
    <row r="839" spans="16:17" x14ac:dyDescent="0.25">
      <c r="P839" s="220"/>
      <c r="Q839" s="366"/>
    </row>
    <row r="840" spans="16:17" x14ac:dyDescent="0.25">
      <c r="P840" s="220"/>
      <c r="Q840" s="366"/>
    </row>
    <row r="841" spans="16:17" x14ac:dyDescent="0.25">
      <c r="P841" s="220"/>
      <c r="Q841" s="366"/>
    </row>
    <row r="842" spans="16:17" x14ac:dyDescent="0.25">
      <c r="P842" s="220"/>
      <c r="Q842" s="366"/>
    </row>
    <row r="843" spans="16:17" x14ac:dyDescent="0.25">
      <c r="P843" s="220"/>
      <c r="Q843" s="366"/>
    </row>
    <row r="844" spans="16:17" x14ac:dyDescent="0.25">
      <c r="P844" s="220"/>
      <c r="Q844" s="366"/>
    </row>
    <row r="845" spans="16:17" x14ac:dyDescent="0.25">
      <c r="P845" s="220"/>
      <c r="Q845" s="366"/>
    </row>
    <row r="846" spans="16:17" x14ac:dyDescent="0.25">
      <c r="P846" s="220"/>
      <c r="Q846" s="366"/>
    </row>
    <row r="847" spans="16:17" x14ac:dyDescent="0.25">
      <c r="P847" s="220"/>
      <c r="Q847" s="366"/>
    </row>
    <row r="848" spans="16:17" x14ac:dyDescent="0.25">
      <c r="P848" s="220"/>
      <c r="Q848" s="366"/>
    </row>
    <row r="849" spans="16:17" x14ac:dyDescent="0.25">
      <c r="P849" s="220"/>
      <c r="Q849" s="366"/>
    </row>
    <row r="850" spans="16:17" x14ac:dyDescent="0.25">
      <c r="P850" s="220"/>
      <c r="Q850" s="366"/>
    </row>
    <row r="851" spans="16:17" x14ac:dyDescent="0.25">
      <c r="P851" s="220"/>
      <c r="Q851" s="366"/>
    </row>
    <row r="852" spans="16:17" x14ac:dyDescent="0.25">
      <c r="P852" s="220"/>
      <c r="Q852" s="366"/>
    </row>
    <row r="853" spans="16:17" x14ac:dyDescent="0.25">
      <c r="P853" s="220"/>
      <c r="Q853" s="366"/>
    </row>
    <row r="854" spans="16:17" x14ac:dyDescent="0.25">
      <c r="P854" s="220"/>
      <c r="Q854" s="366"/>
    </row>
    <row r="855" spans="16:17" x14ac:dyDescent="0.25">
      <c r="P855" s="220"/>
      <c r="Q855" s="366"/>
    </row>
    <row r="856" spans="16:17" x14ac:dyDescent="0.25">
      <c r="P856" s="220"/>
      <c r="Q856" s="366"/>
    </row>
    <row r="857" spans="16:17" x14ac:dyDescent="0.25">
      <c r="P857" s="220"/>
      <c r="Q857" s="366"/>
    </row>
    <row r="858" spans="16:17" x14ac:dyDescent="0.25">
      <c r="P858" s="220"/>
      <c r="Q858" s="366"/>
    </row>
    <row r="859" spans="16:17" x14ac:dyDescent="0.25">
      <c r="P859" s="220"/>
      <c r="Q859" s="366"/>
    </row>
    <row r="860" spans="16:17" x14ac:dyDescent="0.25">
      <c r="P860" s="220"/>
      <c r="Q860" s="366"/>
    </row>
    <row r="861" spans="16:17" x14ac:dyDescent="0.25">
      <c r="P861" s="220"/>
      <c r="Q861" s="366"/>
    </row>
    <row r="862" spans="16:17" x14ac:dyDescent="0.25">
      <c r="P862" s="220"/>
      <c r="Q862" s="366"/>
    </row>
    <row r="863" spans="16:17" x14ac:dyDescent="0.25">
      <c r="P863" s="220"/>
      <c r="Q863" s="366"/>
    </row>
    <row r="864" spans="16:17" x14ac:dyDescent="0.25">
      <c r="P864" s="220"/>
      <c r="Q864" s="366"/>
    </row>
    <row r="865" spans="16:17" x14ac:dyDescent="0.25">
      <c r="P865" s="220"/>
      <c r="Q865" s="366"/>
    </row>
    <row r="866" spans="16:17" x14ac:dyDescent="0.25">
      <c r="P866" s="220"/>
      <c r="Q866" s="366"/>
    </row>
    <row r="867" spans="16:17" x14ac:dyDescent="0.25">
      <c r="P867" s="220"/>
      <c r="Q867" s="366"/>
    </row>
    <row r="868" spans="16:17" x14ac:dyDescent="0.25">
      <c r="P868" s="220"/>
      <c r="Q868" s="366"/>
    </row>
    <row r="869" spans="16:17" x14ac:dyDescent="0.25">
      <c r="P869" s="220"/>
      <c r="Q869" s="366"/>
    </row>
    <row r="870" spans="16:17" x14ac:dyDescent="0.25">
      <c r="P870" s="220"/>
      <c r="Q870" s="366"/>
    </row>
    <row r="871" spans="16:17" x14ac:dyDescent="0.25">
      <c r="P871" s="220"/>
      <c r="Q871" s="366"/>
    </row>
    <row r="872" spans="16:17" x14ac:dyDescent="0.25">
      <c r="P872" s="220"/>
      <c r="Q872" s="366"/>
    </row>
    <row r="873" spans="16:17" x14ac:dyDescent="0.25">
      <c r="P873" s="220"/>
      <c r="Q873" s="366"/>
    </row>
    <row r="874" spans="16:17" x14ac:dyDescent="0.25">
      <c r="P874" s="220"/>
      <c r="Q874" s="366"/>
    </row>
    <row r="875" spans="16:17" x14ac:dyDescent="0.25">
      <c r="P875" s="220"/>
      <c r="Q875" s="366"/>
    </row>
    <row r="876" spans="16:17" x14ac:dyDescent="0.25">
      <c r="P876" s="220"/>
      <c r="Q876" s="366"/>
    </row>
    <row r="877" spans="16:17" x14ac:dyDescent="0.25">
      <c r="P877" s="220"/>
      <c r="Q877" s="366"/>
    </row>
    <row r="878" spans="16:17" x14ac:dyDescent="0.25">
      <c r="P878" s="220"/>
      <c r="Q878" s="366"/>
    </row>
    <row r="879" spans="16:17" x14ac:dyDescent="0.25">
      <c r="P879" s="220"/>
      <c r="Q879" s="366"/>
    </row>
    <row r="880" spans="16:17" x14ac:dyDescent="0.25">
      <c r="P880" s="220"/>
      <c r="Q880" s="366"/>
    </row>
    <row r="881" spans="16:17" x14ac:dyDescent="0.25">
      <c r="P881" s="220"/>
      <c r="Q881" s="366"/>
    </row>
    <row r="882" spans="16:17" x14ac:dyDescent="0.25">
      <c r="P882" s="220"/>
      <c r="Q882" s="366"/>
    </row>
    <row r="883" spans="16:17" x14ac:dyDescent="0.25">
      <c r="P883" s="220"/>
      <c r="Q883" s="366"/>
    </row>
    <row r="884" spans="16:17" x14ac:dyDescent="0.25">
      <c r="P884" s="220"/>
      <c r="Q884" s="366"/>
    </row>
    <row r="885" spans="16:17" x14ac:dyDescent="0.25">
      <c r="P885" s="220"/>
      <c r="Q885" s="366"/>
    </row>
    <row r="886" spans="16:17" x14ac:dyDescent="0.25">
      <c r="P886" s="220"/>
      <c r="Q886" s="366"/>
    </row>
    <row r="887" spans="16:17" x14ac:dyDescent="0.25">
      <c r="P887" s="220"/>
      <c r="Q887" s="366"/>
    </row>
    <row r="888" spans="16:17" x14ac:dyDescent="0.25">
      <c r="P888" s="220"/>
      <c r="Q888" s="366"/>
    </row>
    <row r="889" spans="16:17" x14ac:dyDescent="0.25">
      <c r="P889" s="220"/>
      <c r="Q889" s="366"/>
    </row>
    <row r="890" spans="16:17" x14ac:dyDescent="0.25">
      <c r="P890" s="220"/>
      <c r="Q890" s="366"/>
    </row>
    <row r="891" spans="16:17" x14ac:dyDescent="0.25">
      <c r="P891" s="220"/>
      <c r="Q891" s="366"/>
    </row>
    <row r="892" spans="16:17" x14ac:dyDescent="0.25">
      <c r="P892" s="220"/>
      <c r="Q892" s="366"/>
    </row>
    <row r="893" spans="16:17" x14ac:dyDescent="0.25">
      <c r="P893" s="220"/>
      <c r="Q893" s="366"/>
    </row>
    <row r="894" spans="16:17" x14ac:dyDescent="0.25">
      <c r="P894" s="220"/>
      <c r="Q894" s="366"/>
    </row>
    <row r="895" spans="16:17" x14ac:dyDescent="0.25">
      <c r="P895" s="220"/>
      <c r="Q895" s="366"/>
    </row>
    <row r="896" spans="16:17" x14ac:dyDescent="0.25">
      <c r="P896" s="220"/>
      <c r="Q896" s="366"/>
    </row>
    <row r="897" spans="16:17" x14ac:dyDescent="0.25">
      <c r="P897" s="220"/>
      <c r="Q897" s="366"/>
    </row>
    <row r="898" spans="16:17" x14ac:dyDescent="0.25">
      <c r="P898" s="220"/>
      <c r="Q898" s="366"/>
    </row>
    <row r="899" spans="16:17" x14ac:dyDescent="0.25">
      <c r="P899" s="220"/>
      <c r="Q899" s="366"/>
    </row>
    <row r="900" spans="16:17" x14ac:dyDescent="0.25">
      <c r="P900" s="220"/>
      <c r="Q900" s="366"/>
    </row>
    <row r="901" spans="16:17" x14ac:dyDescent="0.25">
      <c r="P901" s="220"/>
      <c r="Q901" s="366"/>
    </row>
    <row r="902" spans="16:17" x14ac:dyDescent="0.25">
      <c r="P902" s="220"/>
      <c r="Q902" s="366"/>
    </row>
    <row r="903" spans="16:17" x14ac:dyDescent="0.25">
      <c r="P903" s="220"/>
      <c r="Q903" s="366"/>
    </row>
    <row r="904" spans="16:17" x14ac:dyDescent="0.25">
      <c r="P904" s="220"/>
      <c r="Q904" s="366"/>
    </row>
    <row r="905" spans="16:17" x14ac:dyDescent="0.25">
      <c r="P905" s="220"/>
      <c r="Q905" s="366"/>
    </row>
    <row r="906" spans="16:17" x14ac:dyDescent="0.25">
      <c r="P906" s="220"/>
      <c r="Q906" s="366"/>
    </row>
    <row r="907" spans="16:17" x14ac:dyDescent="0.25">
      <c r="P907" s="220"/>
      <c r="Q907" s="366"/>
    </row>
    <row r="908" spans="16:17" x14ac:dyDescent="0.25">
      <c r="P908" s="220"/>
      <c r="Q908" s="366"/>
    </row>
    <row r="909" spans="16:17" x14ac:dyDescent="0.25">
      <c r="P909" s="220"/>
      <c r="Q909" s="366"/>
    </row>
    <row r="910" spans="16:17" x14ac:dyDescent="0.25">
      <c r="P910" s="220"/>
      <c r="Q910" s="366"/>
    </row>
    <row r="911" spans="16:17" x14ac:dyDescent="0.25">
      <c r="P911" s="220"/>
      <c r="Q911" s="366"/>
    </row>
    <row r="912" spans="16:17" x14ac:dyDescent="0.25">
      <c r="P912" s="220"/>
      <c r="Q912" s="366"/>
    </row>
    <row r="913" spans="16:17" x14ac:dyDescent="0.25">
      <c r="P913" s="220"/>
      <c r="Q913" s="366"/>
    </row>
    <row r="914" spans="16:17" x14ac:dyDescent="0.25">
      <c r="P914" s="220"/>
      <c r="Q914" s="366"/>
    </row>
    <row r="915" spans="16:17" x14ac:dyDescent="0.25">
      <c r="P915" s="220"/>
      <c r="Q915" s="366"/>
    </row>
    <row r="916" spans="16:17" x14ac:dyDescent="0.25">
      <c r="P916" s="220"/>
      <c r="Q916" s="366"/>
    </row>
    <row r="917" spans="16:17" x14ac:dyDescent="0.25">
      <c r="P917" s="220"/>
      <c r="Q917" s="366"/>
    </row>
    <row r="918" spans="16:17" x14ac:dyDescent="0.25">
      <c r="P918" s="220"/>
      <c r="Q918" s="366"/>
    </row>
    <row r="919" spans="16:17" x14ac:dyDescent="0.25">
      <c r="P919" s="220"/>
      <c r="Q919" s="366"/>
    </row>
    <row r="920" spans="16:17" x14ac:dyDescent="0.25">
      <c r="P920" s="220"/>
      <c r="Q920" s="366"/>
    </row>
    <row r="921" spans="16:17" x14ac:dyDescent="0.25">
      <c r="P921" s="220"/>
      <c r="Q921" s="366"/>
    </row>
    <row r="922" spans="16:17" x14ac:dyDescent="0.25">
      <c r="P922" s="220"/>
      <c r="Q922" s="366"/>
    </row>
    <row r="923" spans="16:17" x14ac:dyDescent="0.25">
      <c r="P923" s="220"/>
      <c r="Q923" s="366"/>
    </row>
    <row r="924" spans="16:17" x14ac:dyDescent="0.25">
      <c r="P924" s="220"/>
      <c r="Q924" s="366"/>
    </row>
    <row r="925" spans="16:17" x14ac:dyDescent="0.25">
      <c r="P925" s="220"/>
      <c r="Q925" s="366"/>
    </row>
    <row r="926" spans="16:17" x14ac:dyDescent="0.25">
      <c r="P926" s="220"/>
      <c r="Q926" s="366"/>
    </row>
    <row r="927" spans="16:17" x14ac:dyDescent="0.25">
      <c r="P927" s="220"/>
      <c r="Q927" s="366"/>
    </row>
    <row r="928" spans="16:17" x14ac:dyDescent="0.25">
      <c r="P928" s="220"/>
      <c r="Q928" s="366"/>
    </row>
    <row r="929" spans="16:17" x14ac:dyDescent="0.25">
      <c r="P929" s="220"/>
      <c r="Q929" s="366"/>
    </row>
    <row r="930" spans="16:17" x14ac:dyDescent="0.25">
      <c r="P930" s="220"/>
      <c r="Q930" s="366"/>
    </row>
    <row r="931" spans="16:17" x14ac:dyDescent="0.25">
      <c r="P931" s="220"/>
      <c r="Q931" s="366"/>
    </row>
    <row r="932" spans="16:17" x14ac:dyDescent="0.25">
      <c r="P932" s="220"/>
      <c r="Q932" s="366"/>
    </row>
    <row r="933" spans="16:17" x14ac:dyDescent="0.25">
      <c r="P933" s="220"/>
      <c r="Q933" s="366"/>
    </row>
    <row r="934" spans="16:17" x14ac:dyDescent="0.25">
      <c r="P934" s="220"/>
      <c r="Q934" s="366"/>
    </row>
    <row r="935" spans="16:17" x14ac:dyDescent="0.25">
      <c r="P935" s="220"/>
      <c r="Q935" s="366"/>
    </row>
    <row r="936" spans="16:17" x14ac:dyDescent="0.25">
      <c r="P936" s="220"/>
      <c r="Q936" s="366"/>
    </row>
    <row r="937" spans="16:17" x14ac:dyDescent="0.25">
      <c r="P937" s="220"/>
      <c r="Q937" s="366"/>
    </row>
    <row r="938" spans="16:17" x14ac:dyDescent="0.25">
      <c r="P938" s="220"/>
      <c r="Q938" s="366"/>
    </row>
    <row r="939" spans="16:17" x14ac:dyDescent="0.25">
      <c r="P939" s="220"/>
      <c r="Q939" s="366"/>
    </row>
    <row r="940" spans="16:17" x14ac:dyDescent="0.25">
      <c r="P940" s="220"/>
      <c r="Q940" s="366"/>
    </row>
    <row r="941" spans="16:17" x14ac:dyDescent="0.25">
      <c r="P941" s="220"/>
      <c r="Q941" s="366"/>
    </row>
    <row r="942" spans="16:17" x14ac:dyDescent="0.25">
      <c r="P942" s="220"/>
      <c r="Q942" s="366"/>
    </row>
    <row r="943" spans="16:17" x14ac:dyDescent="0.25">
      <c r="P943" s="220"/>
      <c r="Q943" s="366"/>
    </row>
    <row r="944" spans="16:17" x14ac:dyDescent="0.25">
      <c r="P944" s="220"/>
      <c r="Q944" s="366"/>
    </row>
    <row r="945" spans="16:17" x14ac:dyDescent="0.25">
      <c r="P945" s="220"/>
      <c r="Q945" s="366"/>
    </row>
    <row r="946" spans="16:17" x14ac:dyDescent="0.25">
      <c r="P946" s="220"/>
      <c r="Q946" s="366"/>
    </row>
    <row r="947" spans="16:17" x14ac:dyDescent="0.25">
      <c r="P947" s="220"/>
      <c r="Q947" s="366"/>
    </row>
    <row r="948" spans="16:17" x14ac:dyDescent="0.25">
      <c r="P948" s="220"/>
      <c r="Q948" s="366"/>
    </row>
    <row r="949" spans="16:17" x14ac:dyDescent="0.25">
      <c r="P949" s="220"/>
      <c r="Q949" s="366"/>
    </row>
    <row r="950" spans="16:17" x14ac:dyDescent="0.25">
      <c r="P950" s="220"/>
      <c r="Q950" s="366"/>
    </row>
    <row r="951" spans="16:17" x14ac:dyDescent="0.25">
      <c r="P951" s="220"/>
      <c r="Q951" s="366"/>
    </row>
    <row r="952" spans="16:17" x14ac:dyDescent="0.25">
      <c r="P952" s="220"/>
      <c r="Q952" s="366"/>
    </row>
    <row r="953" spans="16:17" x14ac:dyDescent="0.25">
      <c r="P953" s="220"/>
      <c r="Q953" s="366"/>
    </row>
    <row r="954" spans="16:17" x14ac:dyDescent="0.25">
      <c r="P954" s="220"/>
      <c r="Q954" s="366"/>
    </row>
    <row r="955" spans="16:17" x14ac:dyDescent="0.25">
      <c r="P955" s="220"/>
      <c r="Q955" s="366"/>
    </row>
    <row r="956" spans="16:17" x14ac:dyDescent="0.25">
      <c r="P956" s="220"/>
      <c r="Q956" s="366"/>
    </row>
    <row r="957" spans="16:17" x14ac:dyDescent="0.25">
      <c r="P957" s="220"/>
      <c r="Q957" s="366"/>
    </row>
    <row r="958" spans="16:17" x14ac:dyDescent="0.25">
      <c r="P958" s="220"/>
      <c r="Q958" s="366"/>
    </row>
    <row r="959" spans="16:17" x14ac:dyDescent="0.25">
      <c r="P959" s="220"/>
      <c r="Q959" s="366"/>
    </row>
    <row r="960" spans="16:17" x14ac:dyDescent="0.25">
      <c r="P960" s="220"/>
      <c r="Q960" s="366"/>
    </row>
    <row r="961" spans="16:17" x14ac:dyDescent="0.25">
      <c r="P961" s="220"/>
      <c r="Q961" s="366"/>
    </row>
    <row r="962" spans="16:17" x14ac:dyDescent="0.25">
      <c r="P962" s="220"/>
      <c r="Q962" s="366"/>
    </row>
    <row r="963" spans="16:17" x14ac:dyDescent="0.25">
      <c r="P963" s="220"/>
      <c r="Q963" s="366"/>
    </row>
    <row r="964" spans="16:17" x14ac:dyDescent="0.25">
      <c r="P964" s="220"/>
      <c r="Q964" s="366"/>
    </row>
    <row r="965" spans="16:17" x14ac:dyDescent="0.25">
      <c r="P965" s="220"/>
      <c r="Q965" s="366"/>
    </row>
    <row r="966" spans="16:17" x14ac:dyDescent="0.25">
      <c r="P966" s="220"/>
      <c r="Q966" s="366"/>
    </row>
    <row r="967" spans="16:17" x14ac:dyDescent="0.25">
      <c r="P967" s="220"/>
      <c r="Q967" s="366"/>
    </row>
    <row r="968" spans="16:17" x14ac:dyDescent="0.25">
      <c r="P968" s="220"/>
      <c r="Q968" s="366"/>
    </row>
    <row r="969" spans="16:17" x14ac:dyDescent="0.25">
      <c r="P969" s="220"/>
      <c r="Q969" s="366"/>
    </row>
    <row r="970" spans="16:17" x14ac:dyDescent="0.25">
      <c r="P970" s="220"/>
      <c r="Q970" s="366"/>
    </row>
    <row r="971" spans="16:17" x14ac:dyDescent="0.25">
      <c r="P971" s="220"/>
      <c r="Q971" s="366"/>
    </row>
    <row r="972" spans="16:17" x14ac:dyDescent="0.25">
      <c r="P972" s="220"/>
      <c r="Q972" s="366"/>
    </row>
    <row r="973" spans="16:17" x14ac:dyDescent="0.25">
      <c r="P973" s="220"/>
      <c r="Q973" s="366"/>
    </row>
    <row r="974" spans="16:17" x14ac:dyDescent="0.25">
      <c r="P974" s="220"/>
      <c r="Q974" s="366"/>
    </row>
    <row r="975" spans="16:17" x14ac:dyDescent="0.25">
      <c r="P975" s="220"/>
      <c r="Q975" s="366"/>
    </row>
    <row r="976" spans="16:17" x14ac:dyDescent="0.25">
      <c r="P976" s="220"/>
      <c r="Q976" s="366"/>
    </row>
    <row r="977" spans="16:17" x14ac:dyDescent="0.25">
      <c r="P977" s="220"/>
      <c r="Q977" s="366"/>
    </row>
    <row r="978" spans="16:17" x14ac:dyDescent="0.25">
      <c r="P978" s="220"/>
      <c r="Q978" s="366"/>
    </row>
    <row r="979" spans="16:17" x14ac:dyDescent="0.25">
      <c r="P979" s="220"/>
      <c r="Q979" s="366"/>
    </row>
    <row r="980" spans="16:17" x14ac:dyDescent="0.25">
      <c r="P980" s="220"/>
      <c r="Q980" s="366"/>
    </row>
    <row r="981" spans="16:17" x14ac:dyDescent="0.25">
      <c r="P981" s="220"/>
      <c r="Q981" s="366"/>
    </row>
    <row r="982" spans="16:17" x14ac:dyDescent="0.25">
      <c r="P982" s="220"/>
      <c r="Q982" s="366"/>
    </row>
    <row r="983" spans="16:17" x14ac:dyDescent="0.25">
      <c r="P983" s="220"/>
      <c r="Q983" s="366"/>
    </row>
    <row r="984" spans="16:17" x14ac:dyDescent="0.25">
      <c r="P984" s="220"/>
      <c r="Q984" s="366"/>
    </row>
    <row r="985" spans="16:17" x14ac:dyDescent="0.25">
      <c r="P985" s="220"/>
      <c r="Q985" s="366"/>
    </row>
    <row r="986" spans="16:17" x14ac:dyDescent="0.25">
      <c r="P986" s="220"/>
      <c r="Q986" s="366"/>
    </row>
    <row r="987" spans="16:17" x14ac:dyDescent="0.25">
      <c r="P987" s="220"/>
      <c r="Q987" s="366"/>
    </row>
    <row r="988" spans="16:17" x14ac:dyDescent="0.25">
      <c r="P988" s="220"/>
      <c r="Q988" s="366"/>
    </row>
    <row r="989" spans="16:17" x14ac:dyDescent="0.25">
      <c r="P989" s="220"/>
      <c r="Q989" s="366"/>
    </row>
    <row r="990" spans="16:17" x14ac:dyDescent="0.25">
      <c r="P990" s="220"/>
      <c r="Q990" s="366"/>
    </row>
    <row r="991" spans="16:17" x14ac:dyDescent="0.25">
      <c r="P991" s="220"/>
      <c r="Q991" s="366"/>
    </row>
    <row r="992" spans="16:17" x14ac:dyDescent="0.25">
      <c r="P992" s="220"/>
      <c r="Q992" s="366"/>
    </row>
    <row r="993" spans="16:17" x14ac:dyDescent="0.25">
      <c r="P993" s="220"/>
      <c r="Q993" s="366"/>
    </row>
    <row r="994" spans="16:17" x14ac:dyDescent="0.25">
      <c r="P994" s="220"/>
      <c r="Q994" s="366"/>
    </row>
    <row r="995" spans="16:17" x14ac:dyDescent="0.25">
      <c r="P995" s="220"/>
      <c r="Q995" s="366"/>
    </row>
    <row r="996" spans="16:17" x14ac:dyDescent="0.25">
      <c r="P996" s="220"/>
      <c r="Q996" s="366"/>
    </row>
    <row r="997" spans="16:17" x14ac:dyDescent="0.25">
      <c r="P997" s="220"/>
      <c r="Q997" s="366"/>
    </row>
    <row r="998" spans="16:17" x14ac:dyDescent="0.25">
      <c r="P998" s="220"/>
      <c r="Q998" s="366"/>
    </row>
    <row r="999" spans="16:17" x14ac:dyDescent="0.25">
      <c r="P999" s="220"/>
      <c r="Q999" s="366"/>
    </row>
    <row r="1000" spans="16:17" x14ac:dyDescent="0.25">
      <c r="P1000" s="220"/>
      <c r="Q1000" s="366"/>
    </row>
    <row r="1001" spans="16:17" x14ac:dyDescent="0.25">
      <c r="P1001" s="220"/>
      <c r="Q1001" s="366"/>
    </row>
    <row r="1002" spans="16:17" x14ac:dyDescent="0.25">
      <c r="P1002" s="220"/>
      <c r="Q1002" s="366"/>
    </row>
    <row r="1003" spans="16:17" x14ac:dyDescent="0.25">
      <c r="P1003" s="220"/>
      <c r="Q1003" s="366"/>
    </row>
    <row r="1004" spans="16:17" x14ac:dyDescent="0.25">
      <c r="P1004" s="220"/>
      <c r="Q1004" s="366"/>
    </row>
    <row r="1005" spans="16:17" x14ac:dyDescent="0.25">
      <c r="P1005" s="220"/>
      <c r="Q1005" s="366"/>
    </row>
    <row r="1006" spans="16:17" x14ac:dyDescent="0.25">
      <c r="P1006" s="220"/>
      <c r="Q1006" s="366"/>
    </row>
    <row r="1007" spans="16:17" x14ac:dyDescent="0.25">
      <c r="P1007" s="220"/>
      <c r="Q1007" s="366"/>
    </row>
    <row r="1008" spans="16:17" x14ac:dyDescent="0.25">
      <c r="P1008" s="220"/>
      <c r="Q1008" s="366"/>
    </row>
    <row r="1009" spans="16:17" x14ac:dyDescent="0.25">
      <c r="P1009" s="220"/>
      <c r="Q1009" s="366"/>
    </row>
    <row r="1010" spans="16:17" x14ac:dyDescent="0.25">
      <c r="P1010" s="220"/>
      <c r="Q1010" s="366"/>
    </row>
    <row r="1011" spans="16:17" x14ac:dyDescent="0.25">
      <c r="P1011" s="220"/>
      <c r="Q1011" s="366"/>
    </row>
    <row r="1012" spans="16:17" x14ac:dyDescent="0.25">
      <c r="P1012" s="220"/>
      <c r="Q1012" s="366"/>
    </row>
    <row r="1013" spans="16:17" x14ac:dyDescent="0.25">
      <c r="P1013" s="220"/>
      <c r="Q1013" s="366"/>
    </row>
    <row r="1014" spans="16:17" x14ac:dyDescent="0.25">
      <c r="P1014" s="220"/>
      <c r="Q1014" s="366"/>
    </row>
    <row r="1015" spans="16:17" x14ac:dyDescent="0.25">
      <c r="P1015" s="220"/>
      <c r="Q1015" s="366"/>
    </row>
    <row r="1016" spans="16:17" x14ac:dyDescent="0.25">
      <c r="P1016" s="220"/>
      <c r="Q1016" s="366"/>
    </row>
    <row r="1017" spans="16:17" x14ac:dyDescent="0.25">
      <c r="P1017" s="220"/>
      <c r="Q1017" s="366"/>
    </row>
    <row r="1018" spans="16:17" x14ac:dyDescent="0.25">
      <c r="P1018" s="220"/>
      <c r="Q1018" s="366"/>
    </row>
    <row r="1019" spans="16:17" x14ac:dyDescent="0.25">
      <c r="P1019" s="220"/>
      <c r="Q1019" s="366"/>
    </row>
    <row r="1020" spans="16:17" x14ac:dyDescent="0.25">
      <c r="P1020" s="220"/>
      <c r="Q1020" s="366"/>
    </row>
    <row r="1021" spans="16:17" x14ac:dyDescent="0.25">
      <c r="P1021" s="220"/>
      <c r="Q1021" s="366"/>
    </row>
    <row r="1022" spans="16:17" x14ac:dyDescent="0.25">
      <c r="P1022" s="220"/>
      <c r="Q1022" s="366"/>
    </row>
    <row r="1023" spans="16:17" x14ac:dyDescent="0.25">
      <c r="P1023" s="220"/>
      <c r="Q1023" s="366"/>
    </row>
    <row r="1024" spans="16:17" x14ac:dyDescent="0.25">
      <c r="P1024" s="220"/>
      <c r="Q1024" s="366"/>
    </row>
    <row r="1025" spans="16:17" x14ac:dyDescent="0.25">
      <c r="P1025" s="220"/>
      <c r="Q1025" s="366"/>
    </row>
    <row r="1026" spans="16:17" x14ac:dyDescent="0.25">
      <c r="P1026" s="220"/>
      <c r="Q1026" s="366"/>
    </row>
    <row r="1027" spans="16:17" x14ac:dyDescent="0.25">
      <c r="P1027" s="220"/>
      <c r="Q1027" s="366"/>
    </row>
    <row r="1028" spans="16:17" x14ac:dyDescent="0.25">
      <c r="P1028" s="220"/>
      <c r="Q1028" s="366"/>
    </row>
    <row r="1029" spans="16:17" x14ac:dyDescent="0.25">
      <c r="P1029" s="220"/>
      <c r="Q1029" s="366"/>
    </row>
    <row r="1030" spans="16:17" x14ac:dyDescent="0.25">
      <c r="P1030" s="220"/>
      <c r="Q1030" s="366"/>
    </row>
    <row r="1031" spans="16:17" x14ac:dyDescent="0.25">
      <c r="P1031" s="220"/>
      <c r="Q1031" s="366"/>
    </row>
    <row r="1032" spans="16:17" x14ac:dyDescent="0.25">
      <c r="P1032" s="220"/>
      <c r="Q1032" s="366"/>
    </row>
    <row r="1033" spans="16:17" x14ac:dyDescent="0.25">
      <c r="P1033" s="220"/>
      <c r="Q1033" s="366"/>
    </row>
    <row r="1034" spans="16:17" x14ac:dyDescent="0.25">
      <c r="P1034" s="220"/>
      <c r="Q1034" s="366"/>
    </row>
    <row r="1035" spans="16:17" x14ac:dyDescent="0.25">
      <c r="P1035" s="220"/>
      <c r="Q1035" s="366"/>
    </row>
    <row r="1036" spans="16:17" x14ac:dyDescent="0.25">
      <c r="P1036" s="220"/>
      <c r="Q1036" s="366"/>
    </row>
    <row r="1037" spans="16:17" x14ac:dyDescent="0.25">
      <c r="P1037" s="220"/>
      <c r="Q1037" s="366"/>
    </row>
    <row r="1038" spans="16:17" x14ac:dyDescent="0.25">
      <c r="P1038" s="220"/>
      <c r="Q1038" s="366"/>
    </row>
    <row r="1039" spans="16:17" x14ac:dyDescent="0.25">
      <c r="P1039" s="220"/>
      <c r="Q1039" s="366"/>
    </row>
    <row r="1040" spans="16:17" x14ac:dyDescent="0.25">
      <c r="P1040" s="220"/>
      <c r="Q1040" s="366"/>
    </row>
    <row r="1041" spans="16:17" x14ac:dyDescent="0.25">
      <c r="P1041" s="220"/>
      <c r="Q1041" s="366"/>
    </row>
    <row r="1042" spans="16:17" x14ac:dyDescent="0.25">
      <c r="P1042" s="220"/>
      <c r="Q1042" s="366"/>
    </row>
    <row r="1043" spans="16:17" x14ac:dyDescent="0.25">
      <c r="P1043" s="220"/>
      <c r="Q1043" s="366"/>
    </row>
    <row r="1044" spans="16:17" x14ac:dyDescent="0.25">
      <c r="P1044" s="220"/>
      <c r="Q1044" s="366"/>
    </row>
    <row r="1045" spans="16:17" x14ac:dyDescent="0.25">
      <c r="P1045" s="220"/>
      <c r="Q1045" s="366"/>
    </row>
    <row r="1046" spans="16:17" x14ac:dyDescent="0.25">
      <c r="P1046" s="220"/>
      <c r="Q1046" s="366"/>
    </row>
    <row r="1047" spans="16:17" x14ac:dyDescent="0.25">
      <c r="P1047" s="220"/>
      <c r="Q1047" s="366"/>
    </row>
    <row r="1048" spans="16:17" x14ac:dyDescent="0.25">
      <c r="P1048" s="220"/>
      <c r="Q1048" s="366"/>
    </row>
    <row r="1049" spans="16:17" x14ac:dyDescent="0.25">
      <c r="P1049" s="220"/>
      <c r="Q1049" s="366"/>
    </row>
    <row r="1050" spans="16:17" x14ac:dyDescent="0.25">
      <c r="P1050" s="220"/>
      <c r="Q1050" s="366"/>
    </row>
    <row r="1051" spans="16:17" x14ac:dyDescent="0.25">
      <c r="P1051" s="220"/>
      <c r="Q1051" s="366"/>
    </row>
    <row r="1052" spans="16:17" x14ac:dyDescent="0.25">
      <c r="P1052" s="220"/>
      <c r="Q1052" s="366"/>
    </row>
    <row r="1053" spans="16:17" x14ac:dyDescent="0.25">
      <c r="P1053" s="220"/>
      <c r="Q1053" s="366"/>
    </row>
    <row r="1054" spans="16:17" x14ac:dyDescent="0.25">
      <c r="P1054" s="220"/>
      <c r="Q1054" s="366"/>
    </row>
    <row r="1055" spans="16:17" x14ac:dyDescent="0.25">
      <c r="P1055" s="220"/>
      <c r="Q1055" s="366"/>
    </row>
    <row r="1056" spans="16:17" x14ac:dyDescent="0.25">
      <c r="P1056" s="220"/>
      <c r="Q1056" s="366"/>
    </row>
    <row r="1057" spans="16:17" x14ac:dyDescent="0.25">
      <c r="P1057" s="220"/>
      <c r="Q1057" s="366"/>
    </row>
    <row r="1058" spans="16:17" x14ac:dyDescent="0.25">
      <c r="P1058" s="220"/>
      <c r="Q1058" s="366"/>
    </row>
    <row r="1059" spans="16:17" x14ac:dyDescent="0.25">
      <c r="P1059" s="220"/>
      <c r="Q1059" s="366"/>
    </row>
    <row r="1060" spans="16:17" x14ac:dyDescent="0.25">
      <c r="P1060" s="220"/>
      <c r="Q1060" s="366"/>
    </row>
    <row r="1061" spans="16:17" x14ac:dyDescent="0.25">
      <c r="P1061" s="220"/>
      <c r="Q1061" s="366"/>
    </row>
    <row r="1062" spans="16:17" x14ac:dyDescent="0.25">
      <c r="P1062" s="220"/>
      <c r="Q1062" s="366"/>
    </row>
    <row r="1063" spans="16:17" x14ac:dyDescent="0.25">
      <c r="P1063" s="220"/>
      <c r="Q1063" s="366"/>
    </row>
    <row r="1064" spans="16:17" x14ac:dyDescent="0.25">
      <c r="P1064" s="220"/>
      <c r="Q1064" s="366"/>
    </row>
    <row r="1065" spans="16:17" x14ac:dyDescent="0.25">
      <c r="P1065" s="220"/>
      <c r="Q1065" s="366"/>
    </row>
    <row r="1066" spans="16:17" x14ac:dyDescent="0.25">
      <c r="P1066" s="220"/>
      <c r="Q1066" s="366"/>
    </row>
    <row r="1067" spans="16:17" x14ac:dyDescent="0.25">
      <c r="P1067" s="220"/>
      <c r="Q1067" s="366"/>
    </row>
    <row r="1068" spans="16:17" x14ac:dyDescent="0.25">
      <c r="P1068" s="220"/>
      <c r="Q1068" s="366"/>
    </row>
    <row r="1069" spans="16:17" x14ac:dyDescent="0.25">
      <c r="P1069" s="220"/>
      <c r="Q1069" s="366"/>
    </row>
    <row r="1070" spans="16:17" x14ac:dyDescent="0.25">
      <c r="P1070" s="220"/>
      <c r="Q1070" s="366"/>
    </row>
    <row r="1071" spans="16:17" x14ac:dyDescent="0.25">
      <c r="P1071" s="220"/>
      <c r="Q1071" s="366"/>
    </row>
    <row r="1072" spans="16:17" x14ac:dyDescent="0.25">
      <c r="P1072" s="220"/>
      <c r="Q1072" s="366"/>
    </row>
    <row r="1073" spans="16:17" x14ac:dyDescent="0.25">
      <c r="P1073" s="220"/>
      <c r="Q1073" s="366"/>
    </row>
    <row r="1074" spans="16:17" x14ac:dyDescent="0.25">
      <c r="P1074" s="220"/>
      <c r="Q1074" s="366"/>
    </row>
    <row r="1075" spans="16:17" x14ac:dyDescent="0.25">
      <c r="P1075" s="220"/>
      <c r="Q1075" s="366"/>
    </row>
    <row r="1076" spans="16:17" x14ac:dyDescent="0.25">
      <c r="P1076" s="220"/>
      <c r="Q1076" s="366"/>
    </row>
    <row r="1077" spans="16:17" x14ac:dyDescent="0.25">
      <c r="P1077" s="220"/>
      <c r="Q1077" s="366"/>
    </row>
    <row r="1078" spans="16:17" x14ac:dyDescent="0.25">
      <c r="P1078" s="220"/>
      <c r="Q1078" s="366"/>
    </row>
    <row r="1079" spans="16:17" x14ac:dyDescent="0.25">
      <c r="P1079" s="220"/>
      <c r="Q1079" s="366"/>
    </row>
    <row r="1080" spans="16:17" x14ac:dyDescent="0.25">
      <c r="P1080" s="220"/>
      <c r="Q1080" s="366"/>
    </row>
    <row r="1081" spans="16:17" x14ac:dyDescent="0.25">
      <c r="P1081" s="220"/>
      <c r="Q1081" s="366"/>
    </row>
    <row r="1082" spans="16:17" x14ac:dyDescent="0.25">
      <c r="P1082" s="220"/>
      <c r="Q1082" s="366"/>
    </row>
    <row r="1083" spans="16:17" x14ac:dyDescent="0.25">
      <c r="P1083" s="220"/>
      <c r="Q1083" s="366"/>
    </row>
    <row r="1084" spans="16:17" x14ac:dyDescent="0.25">
      <c r="P1084" s="220"/>
      <c r="Q1084" s="366"/>
    </row>
    <row r="1085" spans="16:17" x14ac:dyDescent="0.25">
      <c r="P1085" s="220"/>
      <c r="Q1085" s="366"/>
    </row>
    <row r="1086" spans="16:17" x14ac:dyDescent="0.25">
      <c r="P1086" s="220"/>
      <c r="Q1086" s="366"/>
    </row>
    <row r="1087" spans="16:17" x14ac:dyDescent="0.25">
      <c r="P1087" s="220"/>
      <c r="Q1087" s="366"/>
    </row>
    <row r="1088" spans="16:17" x14ac:dyDescent="0.25">
      <c r="P1088" s="220"/>
      <c r="Q1088" s="366"/>
    </row>
    <row r="1089" spans="16:17" x14ac:dyDescent="0.25">
      <c r="P1089" s="220"/>
      <c r="Q1089" s="366"/>
    </row>
    <row r="1090" spans="16:17" x14ac:dyDescent="0.25">
      <c r="P1090" s="220"/>
      <c r="Q1090" s="366"/>
    </row>
    <row r="1091" spans="16:17" x14ac:dyDescent="0.25">
      <c r="P1091" s="220"/>
      <c r="Q1091" s="366"/>
    </row>
    <row r="1092" spans="16:17" x14ac:dyDescent="0.25">
      <c r="P1092" s="220"/>
      <c r="Q1092" s="366"/>
    </row>
    <row r="1093" spans="16:17" x14ac:dyDescent="0.25">
      <c r="P1093" s="220"/>
      <c r="Q1093" s="366"/>
    </row>
    <row r="1094" spans="16:17" x14ac:dyDescent="0.25">
      <c r="P1094" s="220"/>
      <c r="Q1094" s="366"/>
    </row>
    <row r="1095" spans="16:17" x14ac:dyDescent="0.25">
      <c r="P1095" s="220"/>
      <c r="Q1095" s="366"/>
    </row>
    <row r="1096" spans="16:17" x14ac:dyDescent="0.25">
      <c r="P1096" s="220"/>
      <c r="Q1096" s="366"/>
    </row>
    <row r="1097" spans="16:17" x14ac:dyDescent="0.25">
      <c r="P1097" s="220"/>
      <c r="Q1097" s="366"/>
    </row>
    <row r="1098" spans="16:17" x14ac:dyDescent="0.25">
      <c r="P1098" s="220"/>
      <c r="Q1098" s="366"/>
    </row>
    <row r="1099" spans="16:17" x14ac:dyDescent="0.25">
      <c r="P1099" s="220"/>
      <c r="Q1099" s="366"/>
    </row>
    <row r="1100" spans="16:17" x14ac:dyDescent="0.25">
      <c r="P1100" s="220"/>
      <c r="Q1100" s="366"/>
    </row>
    <row r="1101" spans="16:17" x14ac:dyDescent="0.25">
      <c r="P1101" s="220"/>
      <c r="Q1101" s="366"/>
    </row>
    <row r="1102" spans="16:17" x14ac:dyDescent="0.25">
      <c r="P1102" s="220"/>
      <c r="Q1102" s="366"/>
    </row>
    <row r="1103" spans="16:17" x14ac:dyDescent="0.25">
      <c r="P1103" s="220"/>
      <c r="Q1103" s="366"/>
    </row>
    <row r="1104" spans="16:17" x14ac:dyDescent="0.25">
      <c r="P1104" s="220"/>
      <c r="Q1104" s="366"/>
    </row>
    <row r="1105" spans="16:17" x14ac:dyDescent="0.25">
      <c r="P1105" s="220"/>
      <c r="Q1105" s="366"/>
    </row>
    <row r="1106" spans="16:17" x14ac:dyDescent="0.25">
      <c r="P1106" s="220"/>
      <c r="Q1106" s="366"/>
    </row>
    <row r="1107" spans="16:17" x14ac:dyDescent="0.25">
      <c r="P1107" s="220"/>
      <c r="Q1107" s="366"/>
    </row>
    <row r="1108" spans="16:17" x14ac:dyDescent="0.25">
      <c r="P1108" s="220"/>
      <c r="Q1108" s="366"/>
    </row>
    <row r="1109" spans="16:17" x14ac:dyDescent="0.25">
      <c r="P1109" s="220"/>
      <c r="Q1109" s="366"/>
    </row>
    <row r="1110" spans="16:17" x14ac:dyDescent="0.25">
      <c r="P1110" s="220"/>
      <c r="Q1110" s="366"/>
    </row>
    <row r="1111" spans="16:17" x14ac:dyDescent="0.25">
      <c r="P1111" s="220"/>
      <c r="Q1111" s="366"/>
    </row>
    <row r="1112" spans="16:17" x14ac:dyDescent="0.25">
      <c r="P1112" s="220"/>
      <c r="Q1112" s="366"/>
    </row>
    <row r="1113" spans="16:17" x14ac:dyDescent="0.25">
      <c r="P1113" s="220"/>
      <c r="Q1113" s="366"/>
    </row>
    <row r="1114" spans="16:17" x14ac:dyDescent="0.25">
      <c r="P1114" s="220"/>
      <c r="Q1114" s="366"/>
    </row>
    <row r="1115" spans="16:17" x14ac:dyDescent="0.25">
      <c r="P1115" s="220"/>
      <c r="Q1115" s="366"/>
    </row>
    <row r="1116" spans="16:17" x14ac:dyDescent="0.25">
      <c r="P1116" s="220"/>
      <c r="Q1116" s="366"/>
    </row>
    <row r="1117" spans="16:17" x14ac:dyDescent="0.25">
      <c r="P1117" s="220"/>
      <c r="Q1117" s="366"/>
    </row>
    <row r="1118" spans="16:17" x14ac:dyDescent="0.25">
      <c r="P1118" s="220"/>
      <c r="Q1118" s="366"/>
    </row>
    <row r="1119" spans="16:17" x14ac:dyDescent="0.25">
      <c r="P1119" s="220"/>
      <c r="Q1119" s="366"/>
    </row>
    <row r="1120" spans="16:17" x14ac:dyDescent="0.25">
      <c r="P1120" s="220"/>
      <c r="Q1120" s="366"/>
    </row>
    <row r="1121" spans="16:17" x14ac:dyDescent="0.25">
      <c r="P1121" s="220"/>
      <c r="Q1121" s="366"/>
    </row>
    <row r="1122" spans="16:17" x14ac:dyDescent="0.25">
      <c r="P1122" s="220"/>
      <c r="Q1122" s="366"/>
    </row>
    <row r="1123" spans="16:17" x14ac:dyDescent="0.25">
      <c r="P1123" s="220"/>
      <c r="Q1123" s="366"/>
    </row>
    <row r="1124" spans="16:17" x14ac:dyDescent="0.25">
      <c r="P1124" s="220"/>
      <c r="Q1124" s="366"/>
    </row>
    <row r="1125" spans="16:17" x14ac:dyDescent="0.25">
      <c r="P1125" s="220"/>
      <c r="Q1125" s="366"/>
    </row>
    <row r="1126" spans="16:17" x14ac:dyDescent="0.25">
      <c r="P1126" s="220"/>
      <c r="Q1126" s="366"/>
    </row>
    <row r="1127" spans="16:17" x14ac:dyDescent="0.25">
      <c r="P1127" s="220"/>
      <c r="Q1127" s="366"/>
    </row>
    <row r="1128" spans="16:17" x14ac:dyDescent="0.25">
      <c r="P1128" s="220"/>
      <c r="Q1128" s="366"/>
    </row>
    <row r="1129" spans="16:17" x14ac:dyDescent="0.25">
      <c r="P1129" s="220"/>
      <c r="Q1129" s="366"/>
    </row>
    <row r="1130" spans="16:17" x14ac:dyDescent="0.25">
      <c r="P1130" s="220"/>
      <c r="Q1130" s="366"/>
    </row>
    <row r="1131" spans="16:17" x14ac:dyDescent="0.25">
      <c r="P1131" s="220"/>
      <c r="Q1131" s="366"/>
    </row>
    <row r="1132" spans="16:17" x14ac:dyDescent="0.25">
      <c r="P1132" s="220"/>
      <c r="Q1132" s="366"/>
    </row>
    <row r="1133" spans="16:17" x14ac:dyDescent="0.25">
      <c r="P1133" s="220"/>
      <c r="Q1133" s="366"/>
    </row>
    <row r="1134" spans="16:17" x14ac:dyDescent="0.25">
      <c r="P1134" s="220"/>
      <c r="Q1134" s="366"/>
    </row>
    <row r="1135" spans="16:17" x14ac:dyDescent="0.25">
      <c r="P1135" s="220"/>
      <c r="Q1135" s="366"/>
    </row>
    <row r="1136" spans="16:17" x14ac:dyDescent="0.25">
      <c r="P1136" s="220"/>
      <c r="Q1136" s="366"/>
    </row>
    <row r="1137" spans="16:17" x14ac:dyDescent="0.25">
      <c r="P1137" s="220"/>
      <c r="Q1137" s="366"/>
    </row>
    <row r="1138" spans="16:17" x14ac:dyDescent="0.25">
      <c r="P1138" s="220"/>
      <c r="Q1138" s="366"/>
    </row>
    <row r="1139" spans="16:17" x14ac:dyDescent="0.25">
      <c r="P1139" s="220"/>
      <c r="Q1139" s="366"/>
    </row>
    <row r="1140" spans="16:17" x14ac:dyDescent="0.25">
      <c r="P1140" s="220"/>
      <c r="Q1140" s="366"/>
    </row>
    <row r="1141" spans="16:17" x14ac:dyDescent="0.25">
      <c r="P1141" s="220"/>
      <c r="Q1141" s="366"/>
    </row>
    <row r="1142" spans="16:17" x14ac:dyDescent="0.25">
      <c r="P1142" s="220"/>
      <c r="Q1142" s="366"/>
    </row>
    <row r="1143" spans="16:17" x14ac:dyDescent="0.25">
      <c r="P1143" s="220"/>
      <c r="Q1143" s="366"/>
    </row>
    <row r="1144" spans="16:17" x14ac:dyDescent="0.25">
      <c r="P1144" s="220"/>
      <c r="Q1144" s="366"/>
    </row>
    <row r="1145" spans="16:17" x14ac:dyDescent="0.25">
      <c r="P1145" s="220"/>
      <c r="Q1145" s="366"/>
    </row>
    <row r="1146" spans="16:17" x14ac:dyDescent="0.25">
      <c r="P1146" s="220"/>
      <c r="Q1146" s="366"/>
    </row>
    <row r="1147" spans="16:17" x14ac:dyDescent="0.25">
      <c r="P1147" s="220"/>
      <c r="Q1147" s="366"/>
    </row>
    <row r="1148" spans="16:17" x14ac:dyDescent="0.25">
      <c r="P1148" s="220"/>
      <c r="Q1148" s="366"/>
    </row>
    <row r="1149" spans="16:17" x14ac:dyDescent="0.25">
      <c r="P1149" s="220"/>
      <c r="Q1149" s="366"/>
    </row>
    <row r="1150" spans="16:17" x14ac:dyDescent="0.25">
      <c r="P1150" s="220"/>
      <c r="Q1150" s="366"/>
    </row>
    <row r="1151" spans="16:17" x14ac:dyDescent="0.25">
      <c r="P1151" s="220"/>
      <c r="Q1151" s="366"/>
    </row>
    <row r="1152" spans="16:17" x14ac:dyDescent="0.25">
      <c r="P1152" s="220"/>
      <c r="Q1152" s="366"/>
    </row>
    <row r="1153" spans="16:17" x14ac:dyDescent="0.25">
      <c r="P1153" s="220"/>
      <c r="Q1153" s="366"/>
    </row>
    <row r="1154" spans="16:17" x14ac:dyDescent="0.25">
      <c r="P1154" s="220"/>
      <c r="Q1154" s="366"/>
    </row>
    <row r="1155" spans="16:17" x14ac:dyDescent="0.25">
      <c r="P1155" s="220"/>
      <c r="Q1155" s="366"/>
    </row>
    <row r="1156" spans="16:17" x14ac:dyDescent="0.25">
      <c r="P1156" s="220"/>
      <c r="Q1156" s="366"/>
    </row>
    <row r="1157" spans="16:17" x14ac:dyDescent="0.25">
      <c r="P1157" s="220"/>
      <c r="Q1157" s="366"/>
    </row>
    <row r="1158" spans="16:17" x14ac:dyDescent="0.25">
      <c r="P1158" s="220"/>
      <c r="Q1158" s="366"/>
    </row>
    <row r="1159" spans="16:17" x14ac:dyDescent="0.25">
      <c r="P1159" s="220"/>
      <c r="Q1159" s="366"/>
    </row>
    <row r="1160" spans="16:17" x14ac:dyDescent="0.25">
      <c r="P1160" s="220"/>
      <c r="Q1160" s="366"/>
    </row>
    <row r="1161" spans="16:17" x14ac:dyDescent="0.25">
      <c r="P1161" s="220"/>
      <c r="Q1161" s="366"/>
    </row>
    <row r="1162" spans="16:17" x14ac:dyDescent="0.25">
      <c r="P1162" s="220"/>
      <c r="Q1162" s="366"/>
    </row>
    <row r="1163" spans="16:17" x14ac:dyDescent="0.25">
      <c r="P1163" s="220"/>
      <c r="Q1163" s="366"/>
    </row>
    <row r="1164" spans="16:17" x14ac:dyDescent="0.25">
      <c r="P1164" s="220"/>
      <c r="Q1164" s="366"/>
    </row>
    <row r="1165" spans="16:17" x14ac:dyDescent="0.25">
      <c r="P1165" s="220"/>
      <c r="Q1165" s="366"/>
    </row>
    <row r="1166" spans="16:17" x14ac:dyDescent="0.25">
      <c r="P1166" s="220"/>
      <c r="Q1166" s="366"/>
    </row>
    <row r="1167" spans="16:17" x14ac:dyDescent="0.25">
      <c r="P1167" s="220"/>
      <c r="Q1167" s="366"/>
    </row>
    <row r="1168" spans="16:17" x14ac:dyDescent="0.25">
      <c r="P1168" s="220"/>
      <c r="Q1168" s="366"/>
    </row>
    <row r="1169" spans="16:17" x14ac:dyDescent="0.25">
      <c r="P1169" s="220"/>
      <c r="Q1169" s="366"/>
    </row>
    <row r="1170" spans="16:17" x14ac:dyDescent="0.25">
      <c r="P1170" s="220"/>
      <c r="Q1170" s="366"/>
    </row>
    <row r="1171" spans="16:17" x14ac:dyDescent="0.25">
      <c r="P1171" s="220"/>
      <c r="Q1171" s="366"/>
    </row>
    <row r="1172" spans="16:17" x14ac:dyDescent="0.25">
      <c r="P1172" s="220"/>
      <c r="Q1172" s="366"/>
    </row>
    <row r="1173" spans="16:17" x14ac:dyDescent="0.25">
      <c r="P1173" s="220"/>
      <c r="Q1173" s="366"/>
    </row>
    <row r="1174" spans="16:17" x14ac:dyDescent="0.25">
      <c r="P1174" s="220"/>
      <c r="Q1174" s="366"/>
    </row>
    <row r="1175" spans="16:17" x14ac:dyDescent="0.25">
      <c r="P1175" s="220"/>
      <c r="Q1175" s="366"/>
    </row>
    <row r="1176" spans="16:17" x14ac:dyDescent="0.25">
      <c r="P1176" s="220"/>
      <c r="Q1176" s="366"/>
    </row>
    <row r="1177" spans="16:17" x14ac:dyDescent="0.25">
      <c r="P1177" s="220"/>
      <c r="Q1177" s="366"/>
    </row>
    <row r="1178" spans="16:17" x14ac:dyDescent="0.25">
      <c r="P1178" s="220"/>
      <c r="Q1178" s="366"/>
    </row>
    <row r="1179" spans="16:17" x14ac:dyDescent="0.25">
      <c r="P1179" s="220"/>
      <c r="Q1179" s="366"/>
    </row>
    <row r="1180" spans="16:17" x14ac:dyDescent="0.25">
      <c r="P1180" s="220"/>
      <c r="Q1180" s="366"/>
    </row>
    <row r="1181" spans="16:17" x14ac:dyDescent="0.25">
      <c r="P1181" s="220"/>
      <c r="Q1181" s="366"/>
    </row>
    <row r="1182" spans="16:17" x14ac:dyDescent="0.25">
      <c r="P1182" s="220"/>
      <c r="Q1182" s="366"/>
    </row>
    <row r="1183" spans="16:17" x14ac:dyDescent="0.25">
      <c r="P1183" s="220"/>
      <c r="Q1183" s="366"/>
    </row>
    <row r="1184" spans="16:17" x14ac:dyDescent="0.25">
      <c r="P1184" s="220"/>
      <c r="Q1184" s="366"/>
    </row>
    <row r="1185" spans="16:17" x14ac:dyDescent="0.25">
      <c r="P1185" s="220"/>
      <c r="Q1185" s="366"/>
    </row>
    <row r="1186" spans="16:17" x14ac:dyDescent="0.25">
      <c r="P1186" s="220"/>
      <c r="Q1186" s="366"/>
    </row>
    <row r="1187" spans="16:17" x14ac:dyDescent="0.25">
      <c r="P1187" s="220"/>
      <c r="Q1187" s="366"/>
    </row>
    <row r="1188" spans="16:17" x14ac:dyDescent="0.25">
      <c r="P1188" s="220"/>
      <c r="Q1188" s="366"/>
    </row>
    <row r="1189" spans="16:17" x14ac:dyDescent="0.25">
      <c r="P1189" s="220"/>
      <c r="Q1189" s="366"/>
    </row>
    <row r="1190" spans="16:17" x14ac:dyDescent="0.25">
      <c r="P1190" s="220"/>
      <c r="Q1190" s="366"/>
    </row>
    <row r="1191" spans="16:17" x14ac:dyDescent="0.25">
      <c r="P1191" s="220"/>
      <c r="Q1191" s="366"/>
    </row>
    <row r="1192" spans="16:17" x14ac:dyDescent="0.25">
      <c r="P1192" s="220"/>
      <c r="Q1192" s="366"/>
    </row>
    <row r="1193" spans="16:17" x14ac:dyDescent="0.25">
      <c r="P1193" s="220"/>
      <c r="Q1193" s="366"/>
    </row>
    <row r="1194" spans="16:17" x14ac:dyDescent="0.25">
      <c r="P1194" s="220"/>
      <c r="Q1194" s="366"/>
    </row>
    <row r="1195" spans="16:17" x14ac:dyDescent="0.25">
      <c r="P1195" s="220"/>
      <c r="Q1195" s="366"/>
    </row>
    <row r="1196" spans="16:17" x14ac:dyDescent="0.25">
      <c r="P1196" s="220"/>
      <c r="Q1196" s="366"/>
    </row>
    <row r="1197" spans="16:17" x14ac:dyDescent="0.25">
      <c r="P1197" s="220"/>
      <c r="Q1197" s="366"/>
    </row>
    <row r="1198" spans="16:17" x14ac:dyDescent="0.25">
      <c r="P1198" s="220"/>
      <c r="Q1198" s="366"/>
    </row>
    <row r="1199" spans="16:17" x14ac:dyDescent="0.25">
      <c r="P1199" s="220"/>
      <c r="Q1199" s="366"/>
    </row>
    <row r="1200" spans="16:17" x14ac:dyDescent="0.25">
      <c r="P1200" s="220"/>
      <c r="Q1200" s="366"/>
    </row>
    <row r="1201" spans="16:17" x14ac:dyDescent="0.25">
      <c r="P1201" s="220"/>
      <c r="Q1201" s="366"/>
    </row>
    <row r="1202" spans="16:17" x14ac:dyDescent="0.25">
      <c r="P1202" s="220"/>
      <c r="Q1202" s="366"/>
    </row>
    <row r="1203" spans="16:17" x14ac:dyDescent="0.25">
      <c r="P1203" s="220"/>
      <c r="Q1203" s="366"/>
    </row>
    <row r="1204" spans="16:17" x14ac:dyDescent="0.25">
      <c r="P1204" s="220"/>
      <c r="Q1204" s="366"/>
    </row>
    <row r="1205" spans="16:17" x14ac:dyDescent="0.25">
      <c r="P1205" s="220"/>
      <c r="Q1205" s="366"/>
    </row>
    <row r="1206" spans="16:17" x14ac:dyDescent="0.25">
      <c r="P1206" s="220"/>
      <c r="Q1206" s="366"/>
    </row>
    <row r="1207" spans="16:17" x14ac:dyDescent="0.25">
      <c r="P1207" s="220"/>
      <c r="Q1207" s="366"/>
    </row>
    <row r="1208" spans="16:17" x14ac:dyDescent="0.25">
      <c r="P1208" s="220"/>
      <c r="Q1208" s="366"/>
    </row>
    <row r="1209" spans="16:17" x14ac:dyDescent="0.25">
      <c r="P1209" s="220"/>
      <c r="Q1209" s="366"/>
    </row>
    <row r="1210" spans="16:17" x14ac:dyDescent="0.25">
      <c r="P1210" s="220"/>
      <c r="Q1210" s="366"/>
    </row>
    <row r="1211" spans="16:17" x14ac:dyDescent="0.25">
      <c r="P1211" s="220"/>
      <c r="Q1211" s="366"/>
    </row>
    <row r="1212" spans="16:17" x14ac:dyDescent="0.25">
      <c r="P1212" s="220"/>
      <c r="Q1212" s="366"/>
    </row>
    <row r="1213" spans="16:17" x14ac:dyDescent="0.25">
      <c r="P1213" s="220"/>
      <c r="Q1213" s="366"/>
    </row>
    <row r="1214" spans="16:17" x14ac:dyDescent="0.25">
      <c r="P1214" s="220"/>
      <c r="Q1214" s="366"/>
    </row>
    <row r="1215" spans="16:17" x14ac:dyDescent="0.25">
      <c r="P1215" s="220"/>
      <c r="Q1215" s="366"/>
    </row>
    <row r="1216" spans="16:17" x14ac:dyDescent="0.25">
      <c r="P1216" s="220"/>
      <c r="Q1216" s="366"/>
    </row>
    <row r="1217" spans="16:17" x14ac:dyDescent="0.25">
      <c r="P1217" s="220"/>
      <c r="Q1217" s="366"/>
    </row>
    <row r="1218" spans="16:17" x14ac:dyDescent="0.25">
      <c r="P1218" s="220"/>
      <c r="Q1218" s="366"/>
    </row>
    <row r="1219" spans="16:17" x14ac:dyDescent="0.25">
      <c r="P1219" s="220"/>
      <c r="Q1219" s="366"/>
    </row>
    <row r="1220" spans="16:17" x14ac:dyDescent="0.25">
      <c r="P1220" s="220"/>
      <c r="Q1220" s="366"/>
    </row>
    <row r="1221" spans="16:17" x14ac:dyDescent="0.25">
      <c r="P1221" s="220"/>
      <c r="Q1221" s="366"/>
    </row>
    <row r="1222" spans="16:17" x14ac:dyDescent="0.25">
      <c r="P1222" s="220"/>
      <c r="Q1222" s="366"/>
    </row>
    <row r="1223" spans="16:17" x14ac:dyDescent="0.25">
      <c r="P1223" s="220"/>
      <c r="Q1223" s="366"/>
    </row>
    <row r="1224" spans="16:17" x14ac:dyDescent="0.25">
      <c r="P1224" s="220"/>
      <c r="Q1224" s="366"/>
    </row>
    <row r="1225" spans="16:17" x14ac:dyDescent="0.25">
      <c r="P1225" s="220"/>
      <c r="Q1225" s="366"/>
    </row>
    <row r="1226" spans="16:17" x14ac:dyDescent="0.25">
      <c r="P1226" s="220"/>
      <c r="Q1226" s="366"/>
    </row>
    <row r="1227" spans="16:17" x14ac:dyDescent="0.25">
      <c r="P1227" s="220"/>
      <c r="Q1227" s="366"/>
    </row>
    <row r="1228" spans="16:17" x14ac:dyDescent="0.25">
      <c r="P1228" s="220"/>
      <c r="Q1228" s="366"/>
    </row>
    <row r="1229" spans="16:17" x14ac:dyDescent="0.25">
      <c r="P1229" s="220"/>
      <c r="Q1229" s="366"/>
    </row>
    <row r="1230" spans="16:17" x14ac:dyDescent="0.25">
      <c r="P1230" s="220"/>
      <c r="Q1230" s="366"/>
    </row>
    <row r="1231" spans="16:17" x14ac:dyDescent="0.25">
      <c r="P1231" s="220"/>
      <c r="Q1231" s="366"/>
    </row>
    <row r="1232" spans="16:17" x14ac:dyDescent="0.25">
      <c r="P1232" s="220"/>
      <c r="Q1232" s="366"/>
    </row>
    <row r="1233" spans="16:17" x14ac:dyDescent="0.25">
      <c r="P1233" s="220"/>
      <c r="Q1233" s="366"/>
    </row>
    <row r="1234" spans="16:17" x14ac:dyDescent="0.25">
      <c r="P1234" s="220"/>
      <c r="Q1234" s="366"/>
    </row>
    <row r="1235" spans="16:17" x14ac:dyDescent="0.25">
      <c r="P1235" s="220"/>
      <c r="Q1235" s="366"/>
    </row>
    <row r="1236" spans="16:17" x14ac:dyDescent="0.25">
      <c r="P1236" s="220"/>
      <c r="Q1236" s="366"/>
    </row>
    <row r="1237" spans="16:17" x14ac:dyDescent="0.25">
      <c r="P1237" s="220"/>
      <c r="Q1237" s="366"/>
    </row>
    <row r="1238" spans="16:17" x14ac:dyDescent="0.25">
      <c r="P1238" s="220"/>
      <c r="Q1238" s="366"/>
    </row>
    <row r="1239" spans="16:17" x14ac:dyDescent="0.25">
      <c r="P1239" s="220"/>
      <c r="Q1239" s="366"/>
    </row>
    <row r="1240" spans="16:17" x14ac:dyDescent="0.25">
      <c r="P1240" s="220"/>
      <c r="Q1240" s="366"/>
    </row>
    <row r="1241" spans="16:17" x14ac:dyDescent="0.25">
      <c r="P1241" s="220"/>
      <c r="Q1241" s="366"/>
    </row>
    <row r="1242" spans="16:17" x14ac:dyDescent="0.25">
      <c r="P1242" s="220"/>
      <c r="Q1242" s="366"/>
    </row>
    <row r="1243" spans="16:17" x14ac:dyDescent="0.25">
      <c r="P1243" s="220"/>
      <c r="Q1243" s="366"/>
    </row>
    <row r="1244" spans="16:17" x14ac:dyDescent="0.25">
      <c r="P1244" s="220"/>
      <c r="Q1244" s="366"/>
    </row>
    <row r="1245" spans="16:17" x14ac:dyDescent="0.25">
      <c r="P1245" s="220"/>
      <c r="Q1245" s="366"/>
    </row>
    <row r="1246" spans="16:17" x14ac:dyDescent="0.25">
      <c r="P1246" s="220"/>
      <c r="Q1246" s="366"/>
    </row>
    <row r="1247" spans="16:17" x14ac:dyDescent="0.25">
      <c r="P1247" s="220"/>
      <c r="Q1247" s="366"/>
    </row>
    <row r="1248" spans="16:17" x14ac:dyDescent="0.25">
      <c r="P1248" s="220"/>
      <c r="Q1248" s="366"/>
    </row>
    <row r="1249" spans="16:17" x14ac:dyDescent="0.25">
      <c r="P1249" s="220"/>
      <c r="Q1249" s="366"/>
    </row>
    <row r="1250" spans="16:17" x14ac:dyDescent="0.25">
      <c r="P1250" s="220"/>
      <c r="Q1250" s="366"/>
    </row>
    <row r="1251" spans="16:17" x14ac:dyDescent="0.25">
      <c r="P1251" s="220"/>
      <c r="Q1251" s="366"/>
    </row>
    <row r="1252" spans="16:17" x14ac:dyDescent="0.25">
      <c r="P1252" s="220"/>
      <c r="Q1252" s="366"/>
    </row>
    <row r="1253" spans="16:17" x14ac:dyDescent="0.25">
      <c r="P1253" s="220"/>
      <c r="Q1253" s="366"/>
    </row>
    <row r="1254" spans="16:17" x14ac:dyDescent="0.25">
      <c r="P1254" s="220"/>
      <c r="Q1254" s="366"/>
    </row>
    <row r="1255" spans="16:17" x14ac:dyDescent="0.25">
      <c r="P1255" s="220"/>
      <c r="Q1255" s="366"/>
    </row>
    <row r="1256" spans="16:17" x14ac:dyDescent="0.25">
      <c r="P1256" s="220"/>
      <c r="Q1256" s="366"/>
    </row>
    <row r="1257" spans="16:17" x14ac:dyDescent="0.25">
      <c r="P1257" s="220"/>
      <c r="Q1257" s="366"/>
    </row>
    <row r="1258" spans="16:17" x14ac:dyDescent="0.25">
      <c r="P1258" s="220"/>
      <c r="Q1258" s="366"/>
    </row>
    <row r="1259" spans="16:17" x14ac:dyDescent="0.25">
      <c r="P1259" s="220"/>
      <c r="Q1259" s="366"/>
    </row>
    <row r="1260" spans="16:17" x14ac:dyDescent="0.25">
      <c r="P1260" s="220"/>
      <c r="Q1260" s="366"/>
    </row>
    <row r="1261" spans="16:17" x14ac:dyDescent="0.25">
      <c r="P1261" s="220"/>
      <c r="Q1261" s="366"/>
    </row>
    <row r="1262" spans="16:17" x14ac:dyDescent="0.25">
      <c r="P1262" s="220"/>
      <c r="Q1262" s="366"/>
    </row>
    <row r="1263" spans="16:17" x14ac:dyDescent="0.25">
      <c r="P1263" s="220"/>
      <c r="Q1263" s="366"/>
    </row>
    <row r="1264" spans="16:17" x14ac:dyDescent="0.25">
      <c r="P1264" s="220"/>
      <c r="Q1264" s="366"/>
    </row>
    <row r="1265" spans="16:17" x14ac:dyDescent="0.25">
      <c r="P1265" s="220"/>
      <c r="Q1265" s="366"/>
    </row>
    <row r="1266" spans="16:17" x14ac:dyDescent="0.25">
      <c r="P1266" s="220"/>
      <c r="Q1266" s="366"/>
    </row>
    <row r="1267" spans="16:17" x14ac:dyDescent="0.25">
      <c r="P1267" s="220"/>
      <c r="Q1267" s="366"/>
    </row>
    <row r="1268" spans="16:17" x14ac:dyDescent="0.25">
      <c r="P1268" s="220"/>
      <c r="Q1268" s="366"/>
    </row>
    <row r="1269" spans="16:17" x14ac:dyDescent="0.25">
      <c r="P1269" s="220"/>
      <c r="Q1269" s="366"/>
    </row>
    <row r="1270" spans="16:17" x14ac:dyDescent="0.25">
      <c r="P1270" s="220"/>
      <c r="Q1270" s="366"/>
    </row>
    <row r="1271" spans="16:17" x14ac:dyDescent="0.25">
      <c r="P1271" s="220"/>
      <c r="Q1271" s="366"/>
    </row>
    <row r="1272" spans="16:17" x14ac:dyDescent="0.25">
      <c r="P1272" s="220"/>
      <c r="Q1272" s="366"/>
    </row>
    <row r="1273" spans="16:17" x14ac:dyDescent="0.25">
      <c r="P1273" s="220"/>
      <c r="Q1273" s="366"/>
    </row>
    <row r="1274" spans="16:17" x14ac:dyDescent="0.25">
      <c r="P1274" s="220"/>
      <c r="Q1274" s="366"/>
    </row>
    <row r="1275" spans="16:17" x14ac:dyDescent="0.25">
      <c r="P1275" s="220"/>
      <c r="Q1275" s="366"/>
    </row>
    <row r="1276" spans="16:17" x14ac:dyDescent="0.25">
      <c r="P1276" s="220"/>
      <c r="Q1276" s="366"/>
    </row>
    <row r="1277" spans="16:17" x14ac:dyDescent="0.25">
      <c r="P1277" s="220"/>
      <c r="Q1277" s="366"/>
    </row>
    <row r="1278" spans="16:17" x14ac:dyDescent="0.25">
      <c r="P1278" s="220"/>
      <c r="Q1278" s="366"/>
    </row>
    <row r="1279" spans="16:17" x14ac:dyDescent="0.25">
      <c r="P1279" s="220"/>
      <c r="Q1279" s="366"/>
    </row>
    <row r="1280" spans="16:17" x14ac:dyDescent="0.25">
      <c r="P1280" s="220"/>
      <c r="Q1280" s="366"/>
    </row>
    <row r="1281" spans="16:17" x14ac:dyDescent="0.25">
      <c r="P1281" s="220"/>
      <c r="Q1281" s="366"/>
    </row>
    <row r="1282" spans="16:17" x14ac:dyDescent="0.25">
      <c r="P1282" s="220"/>
      <c r="Q1282" s="366"/>
    </row>
    <row r="1283" spans="16:17" x14ac:dyDescent="0.25">
      <c r="P1283" s="220"/>
      <c r="Q1283" s="366"/>
    </row>
    <row r="1284" spans="16:17" x14ac:dyDescent="0.25">
      <c r="P1284" s="220"/>
      <c r="Q1284" s="366"/>
    </row>
    <row r="1285" spans="16:17" x14ac:dyDescent="0.25">
      <c r="P1285" s="220"/>
      <c r="Q1285" s="366"/>
    </row>
    <row r="1286" spans="16:17" x14ac:dyDescent="0.25">
      <c r="P1286" s="220"/>
      <c r="Q1286" s="366"/>
    </row>
    <row r="1287" spans="16:17" x14ac:dyDescent="0.25">
      <c r="P1287" s="220"/>
      <c r="Q1287" s="366"/>
    </row>
    <row r="1288" spans="16:17" x14ac:dyDescent="0.25">
      <c r="P1288" s="220"/>
      <c r="Q1288" s="366"/>
    </row>
    <row r="1289" spans="16:17" x14ac:dyDescent="0.25">
      <c r="P1289" s="220"/>
      <c r="Q1289" s="366"/>
    </row>
    <row r="1290" spans="16:17" x14ac:dyDescent="0.25">
      <c r="P1290" s="220"/>
      <c r="Q1290" s="366"/>
    </row>
    <row r="1291" spans="16:17" x14ac:dyDescent="0.25">
      <c r="P1291" s="220"/>
      <c r="Q1291" s="366"/>
    </row>
    <row r="1292" spans="16:17" x14ac:dyDescent="0.25">
      <c r="P1292" s="220"/>
      <c r="Q1292" s="366"/>
    </row>
    <row r="1293" spans="16:17" x14ac:dyDescent="0.25">
      <c r="P1293" s="220"/>
      <c r="Q1293" s="366"/>
    </row>
    <row r="1294" spans="16:17" x14ac:dyDescent="0.25">
      <c r="P1294" s="220"/>
      <c r="Q1294" s="366"/>
    </row>
    <row r="1295" spans="16:17" x14ac:dyDescent="0.25">
      <c r="P1295" s="220"/>
      <c r="Q1295" s="366"/>
    </row>
    <row r="1296" spans="16:17" x14ac:dyDescent="0.25">
      <c r="P1296" s="220"/>
      <c r="Q1296" s="366"/>
    </row>
    <row r="1297" spans="16:17" x14ac:dyDescent="0.25">
      <c r="P1297" s="220"/>
      <c r="Q1297" s="366"/>
    </row>
    <row r="1298" spans="16:17" x14ac:dyDescent="0.25">
      <c r="P1298" s="220"/>
      <c r="Q1298" s="366"/>
    </row>
    <row r="1299" spans="16:17" x14ac:dyDescent="0.25">
      <c r="P1299" s="220"/>
      <c r="Q1299" s="366"/>
    </row>
    <row r="1300" spans="16:17" x14ac:dyDescent="0.25">
      <c r="P1300" s="220"/>
      <c r="Q1300" s="366"/>
    </row>
    <row r="1301" spans="16:17" x14ac:dyDescent="0.25">
      <c r="P1301" s="220"/>
      <c r="Q1301" s="366"/>
    </row>
    <row r="1302" spans="16:17" x14ac:dyDescent="0.25">
      <c r="P1302" s="220"/>
      <c r="Q1302" s="366"/>
    </row>
    <row r="1303" spans="16:17" x14ac:dyDescent="0.25">
      <c r="P1303" s="220"/>
      <c r="Q1303" s="366"/>
    </row>
    <row r="1304" spans="16:17" x14ac:dyDescent="0.25">
      <c r="P1304" s="220"/>
      <c r="Q1304" s="366"/>
    </row>
    <row r="1305" spans="16:17" x14ac:dyDescent="0.25">
      <c r="P1305" s="220"/>
      <c r="Q1305" s="366"/>
    </row>
    <row r="1306" spans="16:17" x14ac:dyDescent="0.25">
      <c r="P1306" s="220"/>
      <c r="Q1306" s="366"/>
    </row>
    <row r="1307" spans="16:17" x14ac:dyDescent="0.25">
      <c r="P1307" s="220"/>
      <c r="Q1307" s="366"/>
    </row>
    <row r="1308" spans="16:17" x14ac:dyDescent="0.25">
      <c r="P1308" s="220"/>
      <c r="Q1308" s="366"/>
    </row>
    <row r="1309" spans="16:17" x14ac:dyDescent="0.25">
      <c r="P1309" s="220"/>
      <c r="Q1309" s="366"/>
    </row>
    <row r="1310" spans="16:17" x14ac:dyDescent="0.25">
      <c r="P1310" s="220"/>
      <c r="Q1310" s="366"/>
    </row>
    <row r="1311" spans="16:17" x14ac:dyDescent="0.25">
      <c r="P1311" s="220"/>
      <c r="Q1311" s="366"/>
    </row>
    <row r="1312" spans="16:17" x14ac:dyDescent="0.25">
      <c r="P1312" s="220"/>
      <c r="Q1312" s="366"/>
    </row>
    <row r="1313" spans="16:17" x14ac:dyDescent="0.25">
      <c r="P1313" s="220"/>
      <c r="Q1313" s="366"/>
    </row>
    <row r="1314" spans="16:17" x14ac:dyDescent="0.25">
      <c r="P1314" s="220"/>
      <c r="Q1314" s="366"/>
    </row>
    <row r="1315" spans="16:17" x14ac:dyDescent="0.25">
      <c r="P1315" s="220"/>
      <c r="Q1315" s="366"/>
    </row>
    <row r="1316" spans="16:17" x14ac:dyDescent="0.25">
      <c r="P1316" s="220"/>
      <c r="Q1316" s="366"/>
    </row>
    <row r="1317" spans="16:17" x14ac:dyDescent="0.25">
      <c r="P1317" s="220"/>
      <c r="Q1317" s="366"/>
    </row>
    <row r="1318" spans="16:17" x14ac:dyDescent="0.25">
      <c r="P1318" s="220"/>
      <c r="Q1318" s="366"/>
    </row>
    <row r="1319" spans="16:17" x14ac:dyDescent="0.25">
      <c r="P1319" s="220"/>
      <c r="Q1319" s="366"/>
    </row>
    <row r="1320" spans="16:17" x14ac:dyDescent="0.25">
      <c r="P1320" s="220"/>
      <c r="Q1320" s="366"/>
    </row>
    <row r="1321" spans="16:17" x14ac:dyDescent="0.25">
      <c r="P1321" s="220"/>
      <c r="Q1321" s="366"/>
    </row>
    <row r="1322" spans="16:17" x14ac:dyDescent="0.25">
      <c r="P1322" s="220"/>
      <c r="Q1322" s="366"/>
    </row>
    <row r="1323" spans="16:17" x14ac:dyDescent="0.25">
      <c r="P1323" s="220"/>
      <c r="Q1323" s="366"/>
    </row>
    <row r="1324" spans="16:17" x14ac:dyDescent="0.25">
      <c r="P1324" s="220"/>
      <c r="Q1324" s="366"/>
    </row>
    <row r="1325" spans="16:17" x14ac:dyDescent="0.25">
      <c r="P1325" s="220"/>
      <c r="Q1325" s="366"/>
    </row>
    <row r="1326" spans="16:17" x14ac:dyDescent="0.25">
      <c r="P1326" s="220"/>
      <c r="Q1326" s="366"/>
    </row>
    <row r="1327" spans="16:17" x14ac:dyDescent="0.25">
      <c r="P1327" s="220"/>
      <c r="Q1327" s="366"/>
    </row>
    <row r="1328" spans="16:17" x14ac:dyDescent="0.25">
      <c r="P1328" s="220"/>
      <c r="Q1328" s="366"/>
    </row>
    <row r="1329" spans="16:17" x14ac:dyDescent="0.25">
      <c r="P1329" s="220"/>
      <c r="Q1329" s="366"/>
    </row>
    <row r="1330" spans="16:17" x14ac:dyDescent="0.25">
      <c r="P1330" s="220"/>
      <c r="Q1330" s="366"/>
    </row>
    <row r="1331" spans="16:17" x14ac:dyDescent="0.25">
      <c r="P1331" s="220"/>
      <c r="Q1331" s="366"/>
    </row>
    <row r="1332" spans="16:17" x14ac:dyDescent="0.25">
      <c r="P1332" s="220"/>
      <c r="Q1332" s="366"/>
    </row>
    <row r="1333" spans="16:17" x14ac:dyDescent="0.25">
      <c r="P1333" s="220"/>
      <c r="Q1333" s="366"/>
    </row>
    <row r="1334" spans="16:17" x14ac:dyDescent="0.25">
      <c r="P1334" s="220"/>
      <c r="Q1334" s="366"/>
    </row>
    <row r="1335" spans="16:17" x14ac:dyDescent="0.25">
      <c r="P1335" s="220"/>
      <c r="Q1335" s="366"/>
    </row>
    <row r="1336" spans="16:17" x14ac:dyDescent="0.25">
      <c r="P1336" s="220"/>
      <c r="Q1336" s="366"/>
    </row>
    <row r="1337" spans="16:17" x14ac:dyDescent="0.25">
      <c r="P1337" s="220"/>
      <c r="Q1337" s="366"/>
    </row>
    <row r="1338" spans="16:17" x14ac:dyDescent="0.25">
      <c r="P1338" s="220"/>
      <c r="Q1338" s="366"/>
    </row>
    <row r="1339" spans="16:17" x14ac:dyDescent="0.25">
      <c r="P1339" s="220"/>
      <c r="Q1339" s="366"/>
    </row>
    <row r="1340" spans="16:17" x14ac:dyDescent="0.25">
      <c r="P1340" s="220"/>
      <c r="Q1340" s="366"/>
    </row>
    <row r="1341" spans="16:17" x14ac:dyDescent="0.25">
      <c r="P1341" s="220"/>
      <c r="Q1341" s="366"/>
    </row>
    <row r="1342" spans="16:17" x14ac:dyDescent="0.25">
      <c r="P1342" s="220"/>
      <c r="Q1342" s="366"/>
    </row>
    <row r="1343" spans="16:17" x14ac:dyDescent="0.25">
      <c r="P1343" s="220"/>
      <c r="Q1343" s="366"/>
    </row>
    <row r="1344" spans="16:17" x14ac:dyDescent="0.25">
      <c r="P1344" s="220"/>
      <c r="Q1344" s="366"/>
    </row>
    <row r="1345" spans="16:17" x14ac:dyDescent="0.25">
      <c r="P1345" s="220"/>
      <c r="Q1345" s="366"/>
    </row>
    <row r="1346" spans="16:17" x14ac:dyDescent="0.25">
      <c r="P1346" s="220"/>
      <c r="Q1346" s="366"/>
    </row>
    <row r="1347" spans="16:17" x14ac:dyDescent="0.25">
      <c r="P1347" s="220"/>
      <c r="Q1347" s="366"/>
    </row>
    <row r="1348" spans="16:17" x14ac:dyDescent="0.25">
      <c r="P1348" s="220"/>
      <c r="Q1348" s="366"/>
    </row>
    <row r="1349" spans="16:17" x14ac:dyDescent="0.25">
      <c r="P1349" s="220"/>
      <c r="Q1349" s="366"/>
    </row>
    <row r="1350" spans="16:17" x14ac:dyDescent="0.25">
      <c r="P1350" s="220"/>
      <c r="Q1350" s="366"/>
    </row>
    <row r="1351" spans="16:17" x14ac:dyDescent="0.25">
      <c r="P1351" s="220"/>
      <c r="Q1351" s="366"/>
    </row>
    <row r="1352" spans="16:17" x14ac:dyDescent="0.25">
      <c r="P1352" s="220"/>
      <c r="Q1352" s="366"/>
    </row>
    <row r="1353" spans="16:17" x14ac:dyDescent="0.25">
      <c r="P1353" s="220"/>
      <c r="Q1353" s="366"/>
    </row>
    <row r="1354" spans="16:17" x14ac:dyDescent="0.25">
      <c r="P1354" s="220"/>
      <c r="Q1354" s="366"/>
    </row>
    <row r="1355" spans="16:17" x14ac:dyDescent="0.25">
      <c r="P1355" s="220"/>
      <c r="Q1355" s="366"/>
    </row>
    <row r="1356" spans="16:17" x14ac:dyDescent="0.25">
      <c r="P1356" s="220"/>
      <c r="Q1356" s="366"/>
    </row>
    <row r="1357" spans="16:17" x14ac:dyDescent="0.25">
      <c r="P1357" s="220"/>
      <c r="Q1357" s="366"/>
    </row>
    <row r="1358" spans="16:17" x14ac:dyDescent="0.25">
      <c r="P1358" s="220"/>
      <c r="Q1358" s="366"/>
    </row>
    <row r="1359" spans="16:17" x14ac:dyDescent="0.25">
      <c r="P1359" s="220"/>
      <c r="Q1359" s="366"/>
    </row>
    <row r="1360" spans="16:17" x14ac:dyDescent="0.25">
      <c r="P1360" s="220"/>
      <c r="Q1360" s="366"/>
    </row>
    <row r="1361" spans="16:17" x14ac:dyDescent="0.25">
      <c r="P1361" s="220"/>
      <c r="Q1361" s="366"/>
    </row>
    <row r="1362" spans="16:17" x14ac:dyDescent="0.25">
      <c r="P1362" s="220"/>
      <c r="Q1362" s="366"/>
    </row>
    <row r="1363" spans="16:17" x14ac:dyDescent="0.25">
      <c r="P1363" s="220"/>
      <c r="Q1363" s="366"/>
    </row>
    <row r="1364" spans="16:17" x14ac:dyDescent="0.25">
      <c r="P1364" s="220"/>
      <c r="Q1364" s="366"/>
    </row>
    <row r="1365" spans="16:17" x14ac:dyDescent="0.25">
      <c r="P1365" s="220"/>
      <c r="Q1365" s="366"/>
    </row>
    <row r="1366" spans="16:17" x14ac:dyDescent="0.25">
      <c r="P1366" s="220"/>
      <c r="Q1366" s="366"/>
    </row>
    <row r="1367" spans="16:17" x14ac:dyDescent="0.25">
      <c r="P1367" s="220"/>
      <c r="Q1367" s="366"/>
    </row>
    <row r="1368" spans="16:17" x14ac:dyDescent="0.25">
      <c r="P1368" s="220"/>
      <c r="Q1368" s="366"/>
    </row>
    <row r="1369" spans="16:17" x14ac:dyDescent="0.25">
      <c r="P1369" s="220"/>
      <c r="Q1369" s="366"/>
    </row>
    <row r="1370" spans="16:17" x14ac:dyDescent="0.25">
      <c r="P1370" s="220"/>
      <c r="Q1370" s="366"/>
    </row>
    <row r="1371" spans="16:17" x14ac:dyDescent="0.25">
      <c r="P1371" s="220"/>
      <c r="Q1371" s="366"/>
    </row>
    <row r="1372" spans="16:17" x14ac:dyDescent="0.25">
      <c r="P1372" s="220"/>
      <c r="Q1372" s="366"/>
    </row>
    <row r="1373" spans="16:17" x14ac:dyDescent="0.25">
      <c r="P1373" s="220"/>
      <c r="Q1373" s="366"/>
    </row>
    <row r="1374" spans="16:17" x14ac:dyDescent="0.25">
      <c r="P1374" s="220"/>
      <c r="Q1374" s="366"/>
    </row>
    <row r="1375" spans="16:17" x14ac:dyDescent="0.25">
      <c r="P1375" s="220"/>
      <c r="Q1375" s="366"/>
    </row>
    <row r="1376" spans="16:17" x14ac:dyDescent="0.25">
      <c r="P1376" s="220"/>
      <c r="Q1376" s="366"/>
    </row>
    <row r="1377" spans="16:17" x14ac:dyDescent="0.25">
      <c r="P1377" s="220"/>
      <c r="Q1377" s="366"/>
    </row>
    <row r="1378" spans="16:17" x14ac:dyDescent="0.25">
      <c r="P1378" s="220"/>
      <c r="Q1378" s="366"/>
    </row>
    <row r="1379" spans="16:17" x14ac:dyDescent="0.25">
      <c r="P1379" s="220"/>
      <c r="Q1379" s="366"/>
    </row>
    <row r="1380" spans="16:17" x14ac:dyDescent="0.25">
      <c r="P1380" s="220"/>
      <c r="Q1380" s="366"/>
    </row>
    <row r="1381" spans="16:17" x14ac:dyDescent="0.25">
      <c r="P1381" s="220"/>
      <c r="Q1381" s="366"/>
    </row>
    <row r="1382" spans="16:17" x14ac:dyDescent="0.25">
      <c r="P1382" s="220"/>
      <c r="Q1382" s="366"/>
    </row>
    <row r="1383" spans="16:17" x14ac:dyDescent="0.25">
      <c r="P1383" s="220"/>
      <c r="Q1383" s="366"/>
    </row>
    <row r="1384" spans="16:17" x14ac:dyDescent="0.25">
      <c r="P1384" s="220"/>
      <c r="Q1384" s="366"/>
    </row>
    <row r="1385" spans="16:17" x14ac:dyDescent="0.25">
      <c r="P1385" s="220"/>
      <c r="Q1385" s="366"/>
    </row>
    <row r="1386" spans="16:17" x14ac:dyDescent="0.25">
      <c r="P1386" s="220"/>
      <c r="Q1386" s="366"/>
    </row>
    <row r="1387" spans="16:17" x14ac:dyDescent="0.25">
      <c r="P1387" s="220"/>
      <c r="Q1387" s="366"/>
    </row>
    <row r="1388" spans="16:17" x14ac:dyDescent="0.25">
      <c r="P1388" s="220"/>
      <c r="Q1388" s="366"/>
    </row>
    <row r="1389" spans="16:17" x14ac:dyDescent="0.25">
      <c r="P1389" s="220"/>
      <c r="Q1389" s="366"/>
    </row>
    <row r="1390" spans="16:17" x14ac:dyDescent="0.25">
      <c r="P1390" s="220"/>
      <c r="Q1390" s="366"/>
    </row>
    <row r="1391" spans="16:17" x14ac:dyDescent="0.25">
      <c r="P1391" s="220"/>
      <c r="Q1391" s="366"/>
    </row>
    <row r="1392" spans="16:17" x14ac:dyDescent="0.25">
      <c r="P1392" s="220"/>
      <c r="Q1392" s="366"/>
    </row>
    <row r="1393" spans="16:17" x14ac:dyDescent="0.25">
      <c r="P1393" s="220"/>
      <c r="Q1393" s="366"/>
    </row>
    <row r="1394" spans="16:17" x14ac:dyDescent="0.25">
      <c r="P1394" s="220"/>
      <c r="Q1394" s="366"/>
    </row>
    <row r="1395" spans="16:17" x14ac:dyDescent="0.25">
      <c r="P1395" s="220"/>
      <c r="Q1395" s="366"/>
    </row>
    <row r="1396" spans="16:17" x14ac:dyDescent="0.25">
      <c r="P1396" s="220"/>
      <c r="Q1396" s="366"/>
    </row>
    <row r="1397" spans="16:17" x14ac:dyDescent="0.25">
      <c r="P1397" s="220"/>
      <c r="Q1397" s="366"/>
    </row>
    <row r="1398" spans="16:17" x14ac:dyDescent="0.25">
      <c r="P1398" s="220"/>
      <c r="Q1398" s="366"/>
    </row>
    <row r="1399" spans="16:17" x14ac:dyDescent="0.25">
      <c r="P1399" s="220"/>
      <c r="Q1399" s="366"/>
    </row>
    <row r="1400" spans="16:17" x14ac:dyDescent="0.25">
      <c r="P1400" s="220"/>
      <c r="Q1400" s="366"/>
    </row>
    <row r="1401" spans="16:17" x14ac:dyDescent="0.25">
      <c r="P1401" s="220"/>
      <c r="Q1401" s="366"/>
    </row>
    <row r="1402" spans="16:17" x14ac:dyDescent="0.25">
      <c r="P1402" s="220"/>
      <c r="Q1402" s="366"/>
    </row>
    <row r="1403" spans="16:17" x14ac:dyDescent="0.25">
      <c r="P1403" s="220"/>
      <c r="Q1403" s="366"/>
    </row>
    <row r="1404" spans="16:17" x14ac:dyDescent="0.25">
      <c r="P1404" s="220"/>
      <c r="Q1404" s="366"/>
    </row>
    <row r="1405" spans="16:17" x14ac:dyDescent="0.25">
      <c r="P1405" s="220"/>
      <c r="Q1405" s="366"/>
    </row>
    <row r="1406" spans="16:17" x14ac:dyDescent="0.25">
      <c r="P1406" s="220"/>
      <c r="Q1406" s="366"/>
    </row>
    <row r="1407" spans="16:17" x14ac:dyDescent="0.25">
      <c r="P1407" s="220"/>
      <c r="Q1407" s="366"/>
    </row>
    <row r="1408" spans="16:17" x14ac:dyDescent="0.25">
      <c r="P1408" s="220"/>
      <c r="Q1408" s="366"/>
    </row>
    <row r="1409" spans="16:17" x14ac:dyDescent="0.25">
      <c r="P1409" s="220"/>
      <c r="Q1409" s="366"/>
    </row>
    <row r="1410" spans="16:17" x14ac:dyDescent="0.25">
      <c r="P1410" s="220"/>
      <c r="Q1410" s="366"/>
    </row>
    <row r="1411" spans="16:17" x14ac:dyDescent="0.25">
      <c r="P1411" s="220"/>
      <c r="Q1411" s="366"/>
    </row>
    <row r="1412" spans="16:17" x14ac:dyDescent="0.25">
      <c r="P1412" s="220"/>
      <c r="Q1412" s="366"/>
    </row>
    <row r="1413" spans="16:17" x14ac:dyDescent="0.25">
      <c r="P1413" s="220"/>
      <c r="Q1413" s="366"/>
    </row>
    <row r="1414" spans="16:17" x14ac:dyDescent="0.25">
      <c r="P1414" s="220"/>
      <c r="Q1414" s="366"/>
    </row>
    <row r="1415" spans="16:17" x14ac:dyDescent="0.25">
      <c r="P1415" s="220"/>
      <c r="Q1415" s="366"/>
    </row>
    <row r="1416" spans="16:17" x14ac:dyDescent="0.25">
      <c r="P1416" s="220"/>
      <c r="Q1416" s="366"/>
    </row>
    <row r="1417" spans="16:17" x14ac:dyDescent="0.25">
      <c r="P1417" s="220"/>
      <c r="Q1417" s="366"/>
    </row>
    <row r="1418" spans="16:17" x14ac:dyDescent="0.25">
      <c r="P1418" s="220"/>
      <c r="Q1418" s="366"/>
    </row>
    <row r="1419" spans="16:17" x14ac:dyDescent="0.25">
      <c r="P1419" s="220"/>
      <c r="Q1419" s="366"/>
    </row>
    <row r="1420" spans="16:17" x14ac:dyDescent="0.25">
      <c r="P1420" s="220"/>
      <c r="Q1420" s="366"/>
    </row>
    <row r="1421" spans="16:17" x14ac:dyDescent="0.25">
      <c r="P1421" s="220"/>
      <c r="Q1421" s="366"/>
    </row>
    <row r="1422" spans="16:17" x14ac:dyDescent="0.25">
      <c r="P1422" s="220"/>
      <c r="Q1422" s="366"/>
    </row>
    <row r="1423" spans="16:17" x14ac:dyDescent="0.25">
      <c r="P1423" s="220"/>
      <c r="Q1423" s="366"/>
    </row>
    <row r="1424" spans="16:17" x14ac:dyDescent="0.25">
      <c r="P1424" s="220"/>
      <c r="Q1424" s="366"/>
    </row>
    <row r="1425" spans="16:17" x14ac:dyDescent="0.25">
      <c r="P1425" s="220"/>
      <c r="Q1425" s="366"/>
    </row>
    <row r="1426" spans="16:17" x14ac:dyDescent="0.25">
      <c r="P1426" s="220"/>
      <c r="Q1426" s="366"/>
    </row>
    <row r="1427" spans="16:17" x14ac:dyDescent="0.25">
      <c r="P1427" s="220"/>
      <c r="Q1427" s="366"/>
    </row>
    <row r="1428" spans="16:17" x14ac:dyDescent="0.25">
      <c r="P1428" s="220"/>
      <c r="Q1428" s="366"/>
    </row>
    <row r="1429" spans="16:17" x14ac:dyDescent="0.25">
      <c r="P1429" s="220"/>
      <c r="Q1429" s="366"/>
    </row>
    <row r="1430" spans="16:17" x14ac:dyDescent="0.25">
      <c r="P1430" s="220"/>
      <c r="Q1430" s="366"/>
    </row>
    <row r="1431" spans="16:17" x14ac:dyDescent="0.25">
      <c r="P1431" s="220"/>
      <c r="Q1431" s="366"/>
    </row>
    <row r="1432" spans="16:17" x14ac:dyDescent="0.25">
      <c r="P1432" s="220"/>
      <c r="Q1432" s="366"/>
    </row>
    <row r="1433" spans="16:17" x14ac:dyDescent="0.25">
      <c r="P1433" s="220"/>
      <c r="Q1433" s="366"/>
    </row>
    <row r="1434" spans="16:17" x14ac:dyDescent="0.25">
      <c r="P1434" s="220"/>
      <c r="Q1434" s="366"/>
    </row>
    <row r="1435" spans="16:17" x14ac:dyDescent="0.25">
      <c r="P1435" s="220"/>
      <c r="Q1435" s="366"/>
    </row>
    <row r="1436" spans="16:17" x14ac:dyDescent="0.25">
      <c r="P1436" s="220"/>
      <c r="Q1436" s="366"/>
    </row>
    <row r="1437" spans="16:17" x14ac:dyDescent="0.25">
      <c r="P1437" s="220"/>
      <c r="Q1437" s="366"/>
    </row>
    <row r="1438" spans="16:17" x14ac:dyDescent="0.25">
      <c r="P1438" s="220"/>
      <c r="Q1438" s="366"/>
    </row>
    <row r="1439" spans="16:17" x14ac:dyDescent="0.25">
      <c r="P1439" s="220"/>
      <c r="Q1439" s="366"/>
    </row>
    <row r="1440" spans="16:17" x14ac:dyDescent="0.25">
      <c r="P1440" s="220"/>
      <c r="Q1440" s="366"/>
    </row>
    <row r="1441" spans="16:17" x14ac:dyDescent="0.25">
      <c r="P1441" s="220"/>
      <c r="Q1441" s="366"/>
    </row>
    <row r="1442" spans="16:17" x14ac:dyDescent="0.25">
      <c r="P1442" s="220"/>
      <c r="Q1442" s="366"/>
    </row>
    <row r="1443" spans="16:17" x14ac:dyDescent="0.25">
      <c r="P1443" s="220"/>
      <c r="Q1443" s="366"/>
    </row>
    <row r="1444" spans="16:17" x14ac:dyDescent="0.25">
      <c r="P1444" s="220"/>
      <c r="Q1444" s="366"/>
    </row>
    <row r="1445" spans="16:17" x14ac:dyDescent="0.25">
      <c r="P1445" s="220"/>
      <c r="Q1445" s="366"/>
    </row>
    <row r="1446" spans="16:17" x14ac:dyDescent="0.25">
      <c r="P1446" s="220"/>
      <c r="Q1446" s="366"/>
    </row>
    <row r="1447" spans="16:17" x14ac:dyDescent="0.25">
      <c r="P1447" s="220"/>
      <c r="Q1447" s="366"/>
    </row>
    <row r="1448" spans="16:17" x14ac:dyDescent="0.25">
      <c r="P1448" s="220"/>
      <c r="Q1448" s="366"/>
    </row>
    <row r="1449" spans="16:17" x14ac:dyDescent="0.25">
      <c r="P1449" s="220"/>
      <c r="Q1449" s="366"/>
    </row>
    <row r="1450" spans="16:17" x14ac:dyDescent="0.25">
      <c r="P1450" s="220"/>
      <c r="Q1450" s="366"/>
    </row>
    <row r="1451" spans="16:17" x14ac:dyDescent="0.25">
      <c r="P1451" s="220"/>
      <c r="Q1451" s="366"/>
    </row>
    <row r="1452" spans="16:17" x14ac:dyDescent="0.25">
      <c r="P1452" s="220"/>
      <c r="Q1452" s="366"/>
    </row>
    <row r="1453" spans="16:17" x14ac:dyDescent="0.25">
      <c r="P1453" s="220"/>
      <c r="Q1453" s="366"/>
    </row>
    <row r="1454" spans="16:17" x14ac:dyDescent="0.25">
      <c r="P1454" s="220"/>
      <c r="Q1454" s="366"/>
    </row>
    <row r="1455" spans="16:17" x14ac:dyDescent="0.25">
      <c r="P1455" s="220"/>
      <c r="Q1455" s="366"/>
    </row>
    <row r="1456" spans="16:17" x14ac:dyDescent="0.25">
      <c r="P1456" s="220"/>
      <c r="Q1456" s="366"/>
    </row>
    <row r="1457" spans="16:17" x14ac:dyDescent="0.25">
      <c r="P1457" s="220"/>
      <c r="Q1457" s="366"/>
    </row>
    <row r="1458" spans="16:17" x14ac:dyDescent="0.25">
      <c r="P1458" s="220"/>
      <c r="Q1458" s="366"/>
    </row>
    <row r="1459" spans="16:17" x14ac:dyDescent="0.25">
      <c r="P1459" s="220"/>
      <c r="Q1459" s="366"/>
    </row>
    <row r="1460" spans="16:17" x14ac:dyDescent="0.25">
      <c r="P1460" s="220"/>
      <c r="Q1460" s="366"/>
    </row>
    <row r="1461" spans="16:17" x14ac:dyDescent="0.25">
      <c r="P1461" s="220"/>
      <c r="Q1461" s="366"/>
    </row>
    <row r="1462" spans="16:17" x14ac:dyDescent="0.25">
      <c r="P1462" s="220"/>
      <c r="Q1462" s="366"/>
    </row>
    <row r="1463" spans="16:17" x14ac:dyDescent="0.25">
      <c r="P1463" s="220"/>
      <c r="Q1463" s="366"/>
    </row>
    <row r="1464" spans="16:17" x14ac:dyDescent="0.25">
      <c r="P1464" s="220"/>
      <c r="Q1464" s="366"/>
    </row>
    <row r="1465" spans="16:17" x14ac:dyDescent="0.25">
      <c r="P1465" s="220"/>
      <c r="Q1465" s="366"/>
    </row>
    <row r="1466" spans="16:17" x14ac:dyDescent="0.25">
      <c r="P1466" s="220"/>
      <c r="Q1466" s="366"/>
    </row>
    <row r="1467" spans="16:17" x14ac:dyDescent="0.25">
      <c r="P1467" s="220"/>
      <c r="Q1467" s="366"/>
    </row>
    <row r="1468" spans="16:17" x14ac:dyDescent="0.25">
      <c r="P1468" s="220"/>
      <c r="Q1468" s="366"/>
    </row>
    <row r="1469" spans="16:17" x14ac:dyDescent="0.25">
      <c r="P1469" s="220"/>
      <c r="Q1469" s="366"/>
    </row>
    <row r="1470" spans="16:17" x14ac:dyDescent="0.25">
      <c r="P1470" s="220"/>
      <c r="Q1470" s="366"/>
    </row>
    <row r="1471" spans="16:17" x14ac:dyDescent="0.25">
      <c r="P1471" s="220"/>
      <c r="Q1471" s="366"/>
    </row>
    <row r="1472" spans="16:17" x14ac:dyDescent="0.25">
      <c r="P1472" s="220"/>
      <c r="Q1472" s="366"/>
    </row>
    <row r="1473" spans="16:17" x14ac:dyDescent="0.25">
      <c r="P1473" s="220"/>
      <c r="Q1473" s="366"/>
    </row>
    <row r="1474" spans="16:17" x14ac:dyDescent="0.25">
      <c r="P1474" s="220"/>
      <c r="Q1474" s="366"/>
    </row>
    <row r="1475" spans="16:17" x14ac:dyDescent="0.25">
      <c r="P1475" s="220"/>
      <c r="Q1475" s="366"/>
    </row>
    <row r="1476" spans="16:17" x14ac:dyDescent="0.25">
      <c r="P1476" s="220"/>
      <c r="Q1476" s="366"/>
    </row>
    <row r="1477" spans="16:17" x14ac:dyDescent="0.25">
      <c r="P1477" s="220"/>
      <c r="Q1477" s="366"/>
    </row>
    <row r="1478" spans="16:17" x14ac:dyDescent="0.25">
      <c r="P1478" s="220"/>
      <c r="Q1478" s="366"/>
    </row>
    <row r="1479" spans="16:17" x14ac:dyDescent="0.25">
      <c r="P1479" s="220"/>
      <c r="Q1479" s="366"/>
    </row>
    <row r="1480" spans="16:17" x14ac:dyDescent="0.25">
      <c r="P1480" s="220"/>
      <c r="Q1480" s="366"/>
    </row>
    <row r="1481" spans="16:17" x14ac:dyDescent="0.25">
      <c r="P1481" s="220"/>
      <c r="Q1481" s="366"/>
    </row>
    <row r="1482" spans="16:17" x14ac:dyDescent="0.25">
      <c r="P1482" s="220"/>
      <c r="Q1482" s="366"/>
    </row>
    <row r="1483" spans="16:17" x14ac:dyDescent="0.25">
      <c r="P1483" s="220"/>
      <c r="Q1483" s="366"/>
    </row>
    <row r="1484" spans="16:17" x14ac:dyDescent="0.25">
      <c r="P1484" s="220"/>
      <c r="Q1484" s="366"/>
    </row>
    <row r="1485" spans="16:17" x14ac:dyDescent="0.25">
      <c r="P1485" s="220"/>
      <c r="Q1485" s="366"/>
    </row>
    <row r="1486" spans="16:17" x14ac:dyDescent="0.25">
      <c r="P1486" s="220"/>
      <c r="Q1486" s="366"/>
    </row>
    <row r="1487" spans="16:17" x14ac:dyDescent="0.25">
      <c r="P1487" s="220"/>
      <c r="Q1487" s="366"/>
    </row>
    <row r="1488" spans="16:17" x14ac:dyDescent="0.25">
      <c r="P1488" s="220"/>
      <c r="Q1488" s="366"/>
    </row>
    <row r="1489" spans="16:17" x14ac:dyDescent="0.25">
      <c r="P1489" s="220"/>
      <c r="Q1489" s="366"/>
    </row>
    <row r="1490" spans="16:17" x14ac:dyDescent="0.25">
      <c r="P1490" s="220"/>
      <c r="Q1490" s="366"/>
    </row>
    <row r="1491" spans="16:17" x14ac:dyDescent="0.25">
      <c r="P1491" s="220"/>
      <c r="Q1491" s="366"/>
    </row>
    <row r="1492" spans="16:17" x14ac:dyDescent="0.25">
      <c r="P1492" s="220"/>
      <c r="Q1492" s="366"/>
    </row>
    <row r="1493" spans="16:17" x14ac:dyDescent="0.25">
      <c r="P1493" s="220"/>
      <c r="Q1493" s="366"/>
    </row>
    <row r="1494" spans="16:17" x14ac:dyDescent="0.25">
      <c r="P1494" s="220"/>
      <c r="Q1494" s="366"/>
    </row>
    <row r="1495" spans="16:17" x14ac:dyDescent="0.25">
      <c r="P1495" s="220"/>
      <c r="Q1495" s="366"/>
    </row>
    <row r="1496" spans="16:17" x14ac:dyDescent="0.25">
      <c r="P1496" s="220"/>
      <c r="Q1496" s="366"/>
    </row>
    <row r="1497" spans="16:17" x14ac:dyDescent="0.25">
      <c r="P1497" s="220"/>
      <c r="Q1497" s="366"/>
    </row>
    <row r="1498" spans="16:17" x14ac:dyDescent="0.25">
      <c r="P1498" s="220"/>
      <c r="Q1498" s="366"/>
    </row>
    <row r="1499" spans="16:17" x14ac:dyDescent="0.25">
      <c r="P1499" s="220"/>
      <c r="Q1499" s="366"/>
    </row>
    <row r="1500" spans="16:17" x14ac:dyDescent="0.25">
      <c r="P1500" s="220"/>
      <c r="Q1500" s="366"/>
    </row>
    <row r="1501" spans="16:17" x14ac:dyDescent="0.25">
      <c r="P1501" s="220"/>
      <c r="Q1501" s="366"/>
    </row>
    <row r="1502" spans="16:17" x14ac:dyDescent="0.25">
      <c r="P1502" s="220"/>
      <c r="Q1502" s="366"/>
    </row>
    <row r="1503" spans="16:17" x14ac:dyDescent="0.25">
      <c r="P1503" s="220"/>
      <c r="Q1503" s="366"/>
    </row>
    <row r="1504" spans="16:17" x14ac:dyDescent="0.25">
      <c r="P1504" s="220"/>
      <c r="Q1504" s="366"/>
    </row>
    <row r="1505" spans="16:17" x14ac:dyDescent="0.25">
      <c r="P1505" s="220"/>
      <c r="Q1505" s="366"/>
    </row>
    <row r="1506" spans="16:17" x14ac:dyDescent="0.25">
      <c r="P1506" s="220"/>
      <c r="Q1506" s="366"/>
    </row>
    <row r="1507" spans="16:17" x14ac:dyDescent="0.25">
      <c r="P1507" s="220"/>
      <c r="Q1507" s="366"/>
    </row>
    <row r="1508" spans="16:17" x14ac:dyDescent="0.25">
      <c r="P1508" s="220"/>
      <c r="Q1508" s="366"/>
    </row>
    <row r="1509" spans="16:17" x14ac:dyDescent="0.25">
      <c r="P1509" s="220"/>
      <c r="Q1509" s="366"/>
    </row>
    <row r="1510" spans="16:17" x14ac:dyDescent="0.25">
      <c r="P1510" s="220"/>
      <c r="Q1510" s="366"/>
    </row>
    <row r="1511" spans="16:17" x14ac:dyDescent="0.25">
      <c r="P1511" s="220"/>
      <c r="Q1511" s="366"/>
    </row>
    <row r="1512" spans="16:17" x14ac:dyDescent="0.25">
      <c r="P1512" s="220"/>
      <c r="Q1512" s="366"/>
    </row>
    <row r="1513" spans="16:17" x14ac:dyDescent="0.25">
      <c r="P1513" s="220"/>
      <c r="Q1513" s="366"/>
    </row>
    <row r="1514" spans="16:17" x14ac:dyDescent="0.25">
      <c r="P1514" s="220"/>
      <c r="Q1514" s="366"/>
    </row>
    <row r="1515" spans="16:17" x14ac:dyDescent="0.25">
      <c r="P1515" s="220"/>
      <c r="Q1515" s="366"/>
    </row>
    <row r="1516" spans="16:17" x14ac:dyDescent="0.25">
      <c r="P1516" s="220"/>
      <c r="Q1516" s="366"/>
    </row>
    <row r="1517" spans="16:17" x14ac:dyDescent="0.25">
      <c r="P1517" s="220"/>
      <c r="Q1517" s="366"/>
    </row>
    <row r="1518" spans="16:17" x14ac:dyDescent="0.25">
      <c r="P1518" s="220"/>
      <c r="Q1518" s="366"/>
    </row>
    <row r="1519" spans="16:17" x14ac:dyDescent="0.25">
      <c r="P1519" s="220"/>
      <c r="Q1519" s="366"/>
    </row>
    <row r="1520" spans="16:17" x14ac:dyDescent="0.25">
      <c r="P1520" s="220"/>
      <c r="Q1520" s="366"/>
    </row>
    <row r="1521" spans="16:17" x14ac:dyDescent="0.25">
      <c r="P1521" s="220"/>
      <c r="Q1521" s="366"/>
    </row>
    <row r="1522" spans="16:17" x14ac:dyDescent="0.25">
      <c r="P1522" s="220"/>
      <c r="Q1522" s="366"/>
    </row>
    <row r="1523" spans="16:17" x14ac:dyDescent="0.25">
      <c r="P1523" s="220"/>
      <c r="Q1523" s="366"/>
    </row>
    <row r="1524" spans="16:17" x14ac:dyDescent="0.25">
      <c r="P1524" s="220"/>
      <c r="Q1524" s="366"/>
    </row>
    <row r="1525" spans="16:17" x14ac:dyDescent="0.25">
      <c r="P1525" s="220"/>
      <c r="Q1525" s="366"/>
    </row>
    <row r="1526" spans="16:17" x14ac:dyDescent="0.25">
      <c r="P1526" s="220"/>
      <c r="Q1526" s="366"/>
    </row>
    <row r="1527" spans="16:17" x14ac:dyDescent="0.25">
      <c r="P1527" s="220"/>
      <c r="Q1527" s="366"/>
    </row>
    <row r="1528" spans="16:17" x14ac:dyDescent="0.25">
      <c r="P1528" s="220"/>
      <c r="Q1528" s="366"/>
    </row>
    <row r="1529" spans="16:17" x14ac:dyDescent="0.25">
      <c r="P1529" s="220"/>
      <c r="Q1529" s="366"/>
    </row>
    <row r="1530" spans="16:17" x14ac:dyDescent="0.25">
      <c r="P1530" s="220"/>
      <c r="Q1530" s="366"/>
    </row>
    <row r="1531" spans="16:17" x14ac:dyDescent="0.25">
      <c r="P1531" s="220"/>
      <c r="Q1531" s="366"/>
    </row>
    <row r="1532" spans="16:17" x14ac:dyDescent="0.25">
      <c r="P1532" s="220"/>
      <c r="Q1532" s="366"/>
    </row>
    <row r="1533" spans="16:17" x14ac:dyDescent="0.25">
      <c r="P1533" s="220"/>
      <c r="Q1533" s="366"/>
    </row>
    <row r="1534" spans="16:17" x14ac:dyDescent="0.25">
      <c r="P1534" s="220"/>
      <c r="Q1534" s="366"/>
    </row>
    <row r="1535" spans="16:17" x14ac:dyDescent="0.25">
      <c r="P1535" s="220"/>
      <c r="Q1535" s="366"/>
    </row>
    <row r="1536" spans="16:17" x14ac:dyDescent="0.25">
      <c r="P1536" s="220"/>
      <c r="Q1536" s="366"/>
    </row>
    <row r="1537" spans="16:17" x14ac:dyDescent="0.25">
      <c r="P1537" s="220"/>
      <c r="Q1537" s="366"/>
    </row>
    <row r="1538" spans="16:17" x14ac:dyDescent="0.25">
      <c r="P1538" s="220"/>
      <c r="Q1538" s="366"/>
    </row>
    <row r="1539" spans="16:17" x14ac:dyDescent="0.25">
      <c r="P1539" s="220"/>
      <c r="Q1539" s="366"/>
    </row>
    <row r="1540" spans="16:17" x14ac:dyDescent="0.25">
      <c r="P1540" s="220"/>
      <c r="Q1540" s="366"/>
    </row>
    <row r="1541" spans="16:17" x14ac:dyDescent="0.25">
      <c r="P1541" s="220"/>
      <c r="Q1541" s="366"/>
    </row>
    <row r="1542" spans="16:17" x14ac:dyDescent="0.25">
      <c r="P1542" s="220"/>
      <c r="Q1542" s="366"/>
    </row>
    <row r="1543" spans="16:17" x14ac:dyDescent="0.25">
      <c r="P1543" s="220"/>
      <c r="Q1543" s="366"/>
    </row>
    <row r="1544" spans="16:17" x14ac:dyDescent="0.25">
      <c r="P1544" s="220"/>
      <c r="Q1544" s="366"/>
    </row>
    <row r="1545" spans="16:17" x14ac:dyDescent="0.25">
      <c r="P1545" s="220"/>
      <c r="Q1545" s="366"/>
    </row>
    <row r="1546" spans="16:17" x14ac:dyDescent="0.25">
      <c r="P1546" s="220"/>
      <c r="Q1546" s="366"/>
    </row>
    <row r="1547" spans="16:17" x14ac:dyDescent="0.25">
      <c r="P1547" s="220"/>
      <c r="Q1547" s="366"/>
    </row>
    <row r="1548" spans="16:17" x14ac:dyDescent="0.25">
      <c r="P1548" s="220"/>
      <c r="Q1548" s="366"/>
    </row>
    <row r="1549" spans="16:17" x14ac:dyDescent="0.25">
      <c r="P1549" s="220"/>
      <c r="Q1549" s="366"/>
    </row>
    <row r="1550" spans="16:17" x14ac:dyDescent="0.25">
      <c r="P1550" s="220"/>
      <c r="Q1550" s="366"/>
    </row>
    <row r="1551" spans="16:17" x14ac:dyDescent="0.25">
      <c r="P1551" s="220"/>
      <c r="Q1551" s="366"/>
    </row>
    <row r="1552" spans="16:17" x14ac:dyDescent="0.25">
      <c r="P1552" s="220"/>
      <c r="Q1552" s="366"/>
    </row>
    <row r="1553" spans="16:17" x14ac:dyDescent="0.25">
      <c r="P1553" s="220"/>
      <c r="Q1553" s="366"/>
    </row>
    <row r="1554" spans="16:17" x14ac:dyDescent="0.25">
      <c r="P1554" s="220"/>
      <c r="Q1554" s="366"/>
    </row>
    <row r="1555" spans="16:17" x14ac:dyDescent="0.25">
      <c r="P1555" s="220"/>
      <c r="Q1555" s="366"/>
    </row>
    <row r="1556" spans="16:17" x14ac:dyDescent="0.25">
      <c r="P1556" s="220"/>
      <c r="Q1556" s="366"/>
    </row>
    <row r="1557" spans="16:17" x14ac:dyDescent="0.25">
      <c r="P1557" s="220"/>
      <c r="Q1557" s="366"/>
    </row>
    <row r="1558" spans="16:17" x14ac:dyDescent="0.25">
      <c r="P1558" s="220"/>
      <c r="Q1558" s="366"/>
    </row>
    <row r="1559" spans="16:17" x14ac:dyDescent="0.25">
      <c r="P1559" s="220"/>
      <c r="Q1559" s="366"/>
    </row>
    <row r="1560" spans="16:17" x14ac:dyDescent="0.25">
      <c r="P1560" s="220"/>
      <c r="Q1560" s="366"/>
    </row>
    <row r="1561" spans="16:17" x14ac:dyDescent="0.25">
      <c r="P1561" s="220"/>
      <c r="Q1561" s="366"/>
    </row>
    <row r="1562" spans="16:17" x14ac:dyDescent="0.25">
      <c r="P1562" s="220"/>
      <c r="Q1562" s="366"/>
    </row>
    <row r="1563" spans="16:17" x14ac:dyDescent="0.25">
      <c r="P1563" s="220"/>
      <c r="Q1563" s="366"/>
    </row>
    <row r="1564" spans="16:17" x14ac:dyDescent="0.25">
      <c r="P1564" s="220"/>
      <c r="Q1564" s="366"/>
    </row>
    <row r="1565" spans="16:17" x14ac:dyDescent="0.25">
      <c r="P1565" s="220"/>
      <c r="Q1565" s="366"/>
    </row>
    <row r="1566" spans="16:17" x14ac:dyDescent="0.25">
      <c r="P1566" s="220"/>
      <c r="Q1566" s="366"/>
    </row>
    <row r="1567" spans="16:17" x14ac:dyDescent="0.25">
      <c r="P1567" s="220"/>
      <c r="Q1567" s="366"/>
    </row>
    <row r="1568" spans="16:17" x14ac:dyDescent="0.25">
      <c r="P1568" s="220"/>
      <c r="Q1568" s="366"/>
    </row>
    <row r="1569" spans="16:17" x14ac:dyDescent="0.25">
      <c r="P1569" s="220"/>
      <c r="Q1569" s="366"/>
    </row>
    <row r="1570" spans="16:17" x14ac:dyDescent="0.25">
      <c r="P1570" s="220"/>
      <c r="Q1570" s="366"/>
    </row>
    <row r="1571" spans="16:17" x14ac:dyDescent="0.25">
      <c r="P1571" s="220"/>
      <c r="Q1571" s="366"/>
    </row>
    <row r="1572" spans="16:17" x14ac:dyDescent="0.25">
      <c r="P1572" s="220"/>
      <c r="Q1572" s="366"/>
    </row>
    <row r="1573" spans="16:17" x14ac:dyDescent="0.25">
      <c r="P1573" s="220"/>
      <c r="Q1573" s="366"/>
    </row>
    <row r="1574" spans="16:17" x14ac:dyDescent="0.25">
      <c r="P1574" s="220"/>
      <c r="Q1574" s="366"/>
    </row>
    <row r="1575" spans="16:17" x14ac:dyDescent="0.25">
      <c r="P1575" s="220"/>
      <c r="Q1575" s="366"/>
    </row>
    <row r="1576" spans="16:17" x14ac:dyDescent="0.25">
      <c r="P1576" s="220"/>
      <c r="Q1576" s="366"/>
    </row>
    <row r="1577" spans="16:17" x14ac:dyDescent="0.25">
      <c r="P1577" s="220"/>
      <c r="Q1577" s="366"/>
    </row>
    <row r="1578" spans="16:17" x14ac:dyDescent="0.25">
      <c r="P1578" s="220"/>
      <c r="Q1578" s="366"/>
    </row>
    <row r="1579" spans="16:17" x14ac:dyDescent="0.25">
      <c r="P1579" s="220"/>
      <c r="Q1579" s="366"/>
    </row>
    <row r="1580" spans="16:17" x14ac:dyDescent="0.25">
      <c r="P1580" s="220"/>
      <c r="Q1580" s="366"/>
    </row>
    <row r="1581" spans="16:17" x14ac:dyDescent="0.25">
      <c r="P1581" s="220"/>
      <c r="Q1581" s="366"/>
    </row>
    <row r="1582" spans="16:17" x14ac:dyDescent="0.25">
      <c r="P1582" s="220"/>
      <c r="Q1582" s="366"/>
    </row>
    <row r="1583" spans="16:17" x14ac:dyDescent="0.25">
      <c r="P1583" s="220"/>
      <c r="Q1583" s="366"/>
    </row>
    <row r="1584" spans="16:17" x14ac:dyDescent="0.25">
      <c r="P1584" s="220"/>
      <c r="Q1584" s="366"/>
    </row>
    <row r="1585" spans="16:17" x14ac:dyDescent="0.25">
      <c r="P1585" s="220"/>
      <c r="Q1585" s="366"/>
    </row>
    <row r="1586" spans="16:17" x14ac:dyDescent="0.25">
      <c r="P1586" s="220"/>
      <c r="Q1586" s="366"/>
    </row>
    <row r="1587" spans="16:17" x14ac:dyDescent="0.25">
      <c r="P1587" s="220"/>
      <c r="Q1587" s="366"/>
    </row>
    <row r="1588" spans="16:17" x14ac:dyDescent="0.25">
      <c r="P1588" s="220"/>
      <c r="Q1588" s="366"/>
    </row>
    <row r="1589" spans="16:17" x14ac:dyDescent="0.25">
      <c r="P1589" s="220"/>
      <c r="Q1589" s="366"/>
    </row>
    <row r="1590" spans="16:17" x14ac:dyDescent="0.25">
      <c r="P1590" s="220"/>
      <c r="Q1590" s="366"/>
    </row>
    <row r="1591" spans="16:17" x14ac:dyDescent="0.25">
      <c r="P1591" s="220"/>
      <c r="Q1591" s="366"/>
    </row>
    <row r="1592" spans="16:17" x14ac:dyDescent="0.25">
      <c r="P1592" s="220"/>
      <c r="Q1592" s="366"/>
    </row>
    <row r="1593" spans="16:17" x14ac:dyDescent="0.25">
      <c r="P1593" s="220"/>
      <c r="Q1593" s="366"/>
    </row>
    <row r="1594" spans="16:17" x14ac:dyDescent="0.25">
      <c r="P1594" s="220"/>
      <c r="Q1594" s="366"/>
    </row>
    <row r="1595" spans="16:17" x14ac:dyDescent="0.25">
      <c r="P1595" s="220"/>
      <c r="Q1595" s="366"/>
    </row>
    <row r="1596" spans="16:17" x14ac:dyDescent="0.25">
      <c r="P1596" s="220"/>
      <c r="Q1596" s="366"/>
    </row>
    <row r="1597" spans="16:17" x14ac:dyDescent="0.25">
      <c r="P1597" s="220"/>
      <c r="Q1597" s="366"/>
    </row>
    <row r="1598" spans="16:17" x14ac:dyDescent="0.25">
      <c r="P1598" s="220"/>
      <c r="Q1598" s="366"/>
    </row>
    <row r="1599" spans="16:17" x14ac:dyDescent="0.25">
      <c r="P1599" s="220"/>
      <c r="Q1599" s="366"/>
    </row>
    <row r="1600" spans="16:17" x14ac:dyDescent="0.25">
      <c r="P1600" s="220"/>
      <c r="Q1600" s="366"/>
    </row>
    <row r="1601" spans="16:17" x14ac:dyDescent="0.25">
      <c r="P1601" s="220"/>
      <c r="Q1601" s="366"/>
    </row>
    <row r="1602" spans="16:17" x14ac:dyDescent="0.25">
      <c r="P1602" s="220"/>
      <c r="Q1602" s="366"/>
    </row>
    <row r="1603" spans="16:17" x14ac:dyDescent="0.25">
      <c r="P1603" s="220"/>
      <c r="Q1603" s="366"/>
    </row>
    <row r="1604" spans="16:17" x14ac:dyDescent="0.25">
      <c r="P1604" s="220"/>
      <c r="Q1604" s="366"/>
    </row>
    <row r="1605" spans="16:17" x14ac:dyDescent="0.25">
      <c r="P1605" s="220"/>
      <c r="Q1605" s="366"/>
    </row>
    <row r="1606" spans="16:17" x14ac:dyDescent="0.25">
      <c r="P1606" s="220"/>
      <c r="Q1606" s="366"/>
    </row>
    <row r="1607" spans="16:17" x14ac:dyDescent="0.25">
      <c r="P1607" s="220"/>
      <c r="Q1607" s="366"/>
    </row>
    <row r="1608" spans="16:17" x14ac:dyDescent="0.25">
      <c r="P1608" s="220"/>
      <c r="Q1608" s="366"/>
    </row>
    <row r="1609" spans="16:17" x14ac:dyDescent="0.25">
      <c r="P1609" s="220"/>
      <c r="Q1609" s="366"/>
    </row>
    <row r="1610" spans="16:17" x14ac:dyDescent="0.25">
      <c r="P1610" s="220"/>
      <c r="Q1610" s="366"/>
    </row>
    <row r="1611" spans="16:17" x14ac:dyDescent="0.25">
      <c r="P1611" s="220"/>
      <c r="Q1611" s="366"/>
    </row>
    <row r="1612" spans="16:17" x14ac:dyDescent="0.25">
      <c r="P1612" s="220"/>
      <c r="Q1612" s="366"/>
    </row>
    <row r="1613" spans="16:17" x14ac:dyDescent="0.25">
      <c r="P1613" s="220"/>
      <c r="Q1613" s="366"/>
    </row>
    <row r="1614" spans="16:17" x14ac:dyDescent="0.25">
      <c r="P1614" s="220"/>
      <c r="Q1614" s="366"/>
    </row>
    <row r="1615" spans="16:17" x14ac:dyDescent="0.25">
      <c r="P1615" s="220"/>
      <c r="Q1615" s="366"/>
    </row>
    <row r="1616" spans="16:17" x14ac:dyDescent="0.25">
      <c r="P1616" s="220"/>
      <c r="Q1616" s="366"/>
    </row>
    <row r="1617" spans="16:17" x14ac:dyDescent="0.25">
      <c r="P1617" s="220"/>
      <c r="Q1617" s="366"/>
    </row>
    <row r="1618" spans="16:17" x14ac:dyDescent="0.25">
      <c r="P1618" s="220"/>
      <c r="Q1618" s="366"/>
    </row>
    <row r="1619" spans="16:17" x14ac:dyDescent="0.25">
      <c r="P1619" s="220"/>
      <c r="Q1619" s="366"/>
    </row>
    <row r="1620" spans="16:17" x14ac:dyDescent="0.25">
      <c r="P1620" s="220"/>
      <c r="Q1620" s="366"/>
    </row>
    <row r="1621" spans="16:17" x14ac:dyDescent="0.25">
      <c r="P1621" s="220"/>
      <c r="Q1621" s="366"/>
    </row>
    <row r="1622" spans="16:17" x14ac:dyDescent="0.25">
      <c r="P1622" s="220"/>
      <c r="Q1622" s="366"/>
    </row>
    <row r="1623" spans="16:17" x14ac:dyDescent="0.25">
      <c r="P1623" s="220"/>
      <c r="Q1623" s="366"/>
    </row>
    <row r="1624" spans="16:17" x14ac:dyDescent="0.25">
      <c r="P1624" s="220"/>
      <c r="Q1624" s="366"/>
    </row>
    <row r="1625" spans="16:17" x14ac:dyDescent="0.25">
      <c r="P1625" s="220"/>
      <c r="Q1625" s="366"/>
    </row>
    <row r="1626" spans="16:17" x14ac:dyDescent="0.25">
      <c r="P1626" s="220"/>
      <c r="Q1626" s="366"/>
    </row>
    <row r="1627" spans="16:17" x14ac:dyDescent="0.25">
      <c r="P1627" s="220"/>
      <c r="Q1627" s="366"/>
    </row>
    <row r="1628" spans="16:17" x14ac:dyDescent="0.25">
      <c r="P1628" s="220"/>
      <c r="Q1628" s="366"/>
    </row>
    <row r="1629" spans="16:17" x14ac:dyDescent="0.25">
      <c r="P1629" s="220"/>
      <c r="Q1629" s="366"/>
    </row>
    <row r="1630" spans="16:17" x14ac:dyDescent="0.25">
      <c r="P1630" s="220"/>
      <c r="Q1630" s="366"/>
    </row>
    <row r="1631" spans="16:17" x14ac:dyDescent="0.25">
      <c r="P1631" s="220"/>
      <c r="Q1631" s="366"/>
    </row>
    <row r="1632" spans="16:17" x14ac:dyDescent="0.25">
      <c r="P1632" s="220"/>
      <c r="Q1632" s="366"/>
    </row>
    <row r="1633" spans="16:17" x14ac:dyDescent="0.25">
      <c r="P1633" s="220"/>
      <c r="Q1633" s="366"/>
    </row>
    <row r="1634" spans="16:17" x14ac:dyDescent="0.25">
      <c r="P1634" s="220"/>
      <c r="Q1634" s="366"/>
    </row>
    <row r="1635" spans="16:17" x14ac:dyDescent="0.25">
      <c r="P1635" s="220"/>
      <c r="Q1635" s="366"/>
    </row>
    <row r="1636" spans="16:17" x14ac:dyDescent="0.25">
      <c r="P1636" s="220"/>
      <c r="Q1636" s="366"/>
    </row>
    <row r="1637" spans="16:17" x14ac:dyDescent="0.25">
      <c r="P1637" s="220"/>
      <c r="Q1637" s="366"/>
    </row>
    <row r="1638" spans="16:17" x14ac:dyDescent="0.25">
      <c r="P1638" s="220"/>
      <c r="Q1638" s="366"/>
    </row>
    <row r="1639" spans="16:17" x14ac:dyDescent="0.25">
      <c r="P1639" s="220"/>
      <c r="Q1639" s="366"/>
    </row>
    <row r="1640" spans="16:17" x14ac:dyDescent="0.25">
      <c r="P1640" s="220"/>
      <c r="Q1640" s="366"/>
    </row>
    <row r="1641" spans="16:17" x14ac:dyDescent="0.25">
      <c r="P1641" s="220"/>
      <c r="Q1641" s="366"/>
    </row>
    <row r="1642" spans="16:17" x14ac:dyDescent="0.25">
      <c r="P1642" s="220"/>
      <c r="Q1642" s="366"/>
    </row>
    <row r="1643" spans="16:17" x14ac:dyDescent="0.25">
      <c r="P1643" s="220"/>
      <c r="Q1643" s="366"/>
    </row>
    <row r="1644" spans="16:17" x14ac:dyDescent="0.25">
      <c r="P1644" s="220"/>
      <c r="Q1644" s="366"/>
    </row>
    <row r="1645" spans="16:17" x14ac:dyDescent="0.25">
      <c r="P1645" s="220"/>
      <c r="Q1645" s="366"/>
    </row>
    <row r="1646" spans="16:17" x14ac:dyDescent="0.25">
      <c r="P1646" s="220"/>
      <c r="Q1646" s="366"/>
    </row>
    <row r="1647" spans="16:17" x14ac:dyDescent="0.25">
      <c r="P1647" s="220"/>
      <c r="Q1647" s="366"/>
    </row>
    <row r="1648" spans="16:17" x14ac:dyDescent="0.25">
      <c r="P1648" s="220"/>
      <c r="Q1648" s="366"/>
    </row>
    <row r="1649" spans="16:17" x14ac:dyDescent="0.25">
      <c r="P1649" s="220"/>
      <c r="Q1649" s="366"/>
    </row>
    <row r="1650" spans="16:17" x14ac:dyDescent="0.25">
      <c r="P1650" s="220"/>
      <c r="Q1650" s="366"/>
    </row>
    <row r="1651" spans="16:17" x14ac:dyDescent="0.25">
      <c r="P1651" s="220"/>
      <c r="Q1651" s="366"/>
    </row>
    <row r="1652" spans="16:17" x14ac:dyDescent="0.25">
      <c r="P1652" s="220"/>
      <c r="Q1652" s="366"/>
    </row>
    <row r="1653" spans="16:17" x14ac:dyDescent="0.25">
      <c r="P1653" s="220"/>
      <c r="Q1653" s="366"/>
    </row>
    <row r="1654" spans="16:17" x14ac:dyDescent="0.25">
      <c r="P1654" s="220"/>
      <c r="Q1654" s="366"/>
    </row>
    <row r="1655" spans="16:17" x14ac:dyDescent="0.25">
      <c r="P1655" s="220"/>
      <c r="Q1655" s="366"/>
    </row>
    <row r="1656" spans="16:17" x14ac:dyDescent="0.25">
      <c r="P1656" s="220"/>
      <c r="Q1656" s="366"/>
    </row>
    <row r="1657" spans="16:17" x14ac:dyDescent="0.25">
      <c r="P1657" s="220"/>
      <c r="Q1657" s="366"/>
    </row>
    <row r="1658" spans="16:17" x14ac:dyDescent="0.25">
      <c r="P1658" s="220"/>
      <c r="Q1658" s="366"/>
    </row>
    <row r="1659" spans="16:17" x14ac:dyDescent="0.25">
      <c r="P1659" s="220"/>
      <c r="Q1659" s="366"/>
    </row>
    <row r="1660" spans="16:17" x14ac:dyDescent="0.25">
      <c r="P1660" s="220"/>
      <c r="Q1660" s="366"/>
    </row>
    <row r="1661" spans="16:17" x14ac:dyDescent="0.25">
      <c r="P1661" s="220"/>
      <c r="Q1661" s="366"/>
    </row>
    <row r="1662" spans="16:17" x14ac:dyDescent="0.25">
      <c r="P1662" s="220"/>
      <c r="Q1662" s="366"/>
    </row>
    <row r="1663" spans="16:17" x14ac:dyDescent="0.25">
      <c r="P1663" s="220"/>
      <c r="Q1663" s="366"/>
    </row>
    <row r="1664" spans="16:17" x14ac:dyDescent="0.25">
      <c r="P1664" s="220"/>
      <c r="Q1664" s="366"/>
    </row>
    <row r="1665" spans="16:17" x14ac:dyDescent="0.25">
      <c r="P1665" s="220"/>
      <c r="Q1665" s="366"/>
    </row>
    <row r="1666" spans="16:17" x14ac:dyDescent="0.25">
      <c r="P1666" s="220"/>
      <c r="Q1666" s="366"/>
    </row>
    <row r="1667" spans="16:17" x14ac:dyDescent="0.25">
      <c r="P1667" s="220"/>
      <c r="Q1667" s="366"/>
    </row>
    <row r="1668" spans="16:17" x14ac:dyDescent="0.25">
      <c r="P1668" s="220"/>
      <c r="Q1668" s="366"/>
    </row>
    <row r="1669" spans="16:17" x14ac:dyDescent="0.25">
      <c r="P1669" s="220"/>
      <c r="Q1669" s="366"/>
    </row>
    <row r="1670" spans="16:17" x14ac:dyDescent="0.25">
      <c r="P1670" s="220"/>
      <c r="Q1670" s="366"/>
    </row>
    <row r="1671" spans="16:17" x14ac:dyDescent="0.25">
      <c r="P1671" s="220"/>
      <c r="Q1671" s="366"/>
    </row>
    <row r="1672" spans="16:17" x14ac:dyDescent="0.25">
      <c r="P1672" s="220"/>
      <c r="Q1672" s="366"/>
    </row>
    <row r="1673" spans="16:17" x14ac:dyDescent="0.25">
      <c r="P1673" s="220"/>
      <c r="Q1673" s="366"/>
    </row>
    <row r="1674" spans="16:17" x14ac:dyDescent="0.25">
      <c r="P1674" s="220"/>
      <c r="Q1674" s="366"/>
    </row>
    <row r="1675" spans="16:17" x14ac:dyDescent="0.25">
      <c r="P1675" s="220"/>
      <c r="Q1675" s="366"/>
    </row>
    <row r="1676" spans="16:17" x14ac:dyDescent="0.25">
      <c r="P1676" s="220"/>
      <c r="Q1676" s="366"/>
    </row>
    <row r="1677" spans="16:17" x14ac:dyDescent="0.25">
      <c r="P1677" s="220"/>
      <c r="Q1677" s="366"/>
    </row>
    <row r="1678" spans="16:17" x14ac:dyDescent="0.25">
      <c r="P1678" s="220"/>
      <c r="Q1678" s="366"/>
    </row>
    <row r="1679" spans="16:17" x14ac:dyDescent="0.25">
      <c r="P1679" s="220"/>
      <c r="Q1679" s="366"/>
    </row>
    <row r="1680" spans="16:17" x14ac:dyDescent="0.25">
      <c r="P1680" s="220"/>
      <c r="Q1680" s="366"/>
    </row>
    <row r="1681" spans="16:17" x14ac:dyDescent="0.25">
      <c r="P1681" s="220"/>
      <c r="Q1681" s="366"/>
    </row>
    <row r="1682" spans="16:17" x14ac:dyDescent="0.25">
      <c r="P1682" s="220"/>
      <c r="Q1682" s="366"/>
    </row>
    <row r="1683" spans="16:17" x14ac:dyDescent="0.25">
      <c r="P1683" s="220"/>
      <c r="Q1683" s="366"/>
    </row>
    <row r="1684" spans="16:17" x14ac:dyDescent="0.25">
      <c r="P1684" s="220"/>
      <c r="Q1684" s="366"/>
    </row>
    <row r="1685" spans="16:17" x14ac:dyDescent="0.25">
      <c r="P1685" s="220"/>
      <c r="Q1685" s="366"/>
    </row>
    <row r="1686" spans="16:17" x14ac:dyDescent="0.25">
      <c r="P1686" s="220"/>
      <c r="Q1686" s="366"/>
    </row>
    <row r="1687" spans="16:17" x14ac:dyDescent="0.25">
      <c r="P1687" s="220"/>
      <c r="Q1687" s="366"/>
    </row>
    <row r="1688" spans="16:17" x14ac:dyDescent="0.25">
      <c r="P1688" s="220"/>
      <c r="Q1688" s="366"/>
    </row>
    <row r="1689" spans="16:17" x14ac:dyDescent="0.25">
      <c r="P1689" s="220"/>
      <c r="Q1689" s="366"/>
    </row>
    <row r="1690" spans="16:17" x14ac:dyDescent="0.25">
      <c r="P1690" s="220"/>
      <c r="Q1690" s="366"/>
    </row>
    <row r="1691" spans="16:17" x14ac:dyDescent="0.25">
      <c r="P1691" s="220"/>
      <c r="Q1691" s="366"/>
    </row>
    <row r="1692" spans="16:17" x14ac:dyDescent="0.25">
      <c r="P1692" s="220"/>
      <c r="Q1692" s="366"/>
    </row>
    <row r="1693" spans="16:17" x14ac:dyDescent="0.25">
      <c r="P1693" s="220"/>
      <c r="Q1693" s="366"/>
    </row>
    <row r="1694" spans="16:17" x14ac:dyDescent="0.25">
      <c r="P1694" s="220"/>
      <c r="Q1694" s="366"/>
    </row>
    <row r="1695" spans="16:17" x14ac:dyDescent="0.25">
      <c r="P1695" s="220"/>
      <c r="Q1695" s="366"/>
    </row>
    <row r="1696" spans="16:17" x14ac:dyDescent="0.25">
      <c r="P1696" s="220"/>
      <c r="Q1696" s="366"/>
    </row>
    <row r="1697" spans="16:17" x14ac:dyDescent="0.25">
      <c r="P1697" s="220"/>
      <c r="Q1697" s="366"/>
    </row>
    <row r="1698" spans="16:17" x14ac:dyDescent="0.25">
      <c r="P1698" s="220"/>
      <c r="Q1698" s="366"/>
    </row>
    <row r="1699" spans="16:17" x14ac:dyDescent="0.25">
      <c r="P1699" s="220"/>
      <c r="Q1699" s="366"/>
    </row>
    <row r="1700" spans="16:17" x14ac:dyDescent="0.25">
      <c r="P1700" s="220"/>
      <c r="Q1700" s="366"/>
    </row>
    <row r="1701" spans="16:17" x14ac:dyDescent="0.25">
      <c r="P1701" s="220"/>
      <c r="Q1701" s="366"/>
    </row>
    <row r="1702" spans="16:17" x14ac:dyDescent="0.25">
      <c r="P1702" s="220"/>
      <c r="Q1702" s="366"/>
    </row>
    <row r="1703" spans="16:17" x14ac:dyDescent="0.25">
      <c r="P1703" s="220"/>
      <c r="Q1703" s="366"/>
    </row>
    <row r="1704" spans="16:17" x14ac:dyDescent="0.25">
      <c r="P1704" s="220"/>
      <c r="Q1704" s="366"/>
    </row>
    <row r="1705" spans="16:17" x14ac:dyDescent="0.25">
      <c r="P1705" s="220"/>
      <c r="Q1705" s="366"/>
    </row>
    <row r="1706" spans="16:17" x14ac:dyDescent="0.25">
      <c r="P1706" s="220"/>
      <c r="Q1706" s="366"/>
    </row>
    <row r="1707" spans="16:17" x14ac:dyDescent="0.25">
      <c r="P1707" s="220"/>
      <c r="Q1707" s="366"/>
    </row>
    <row r="1708" spans="16:17" x14ac:dyDescent="0.25">
      <c r="P1708" s="220"/>
      <c r="Q1708" s="366"/>
    </row>
    <row r="1709" spans="16:17" x14ac:dyDescent="0.25">
      <c r="P1709" s="220"/>
      <c r="Q1709" s="366"/>
    </row>
    <row r="1710" spans="16:17" x14ac:dyDescent="0.25">
      <c r="P1710" s="220"/>
      <c r="Q1710" s="366"/>
    </row>
    <row r="1711" spans="16:17" x14ac:dyDescent="0.25">
      <c r="P1711" s="220"/>
      <c r="Q1711" s="366"/>
    </row>
    <row r="1712" spans="16:17" x14ac:dyDescent="0.25">
      <c r="P1712" s="220"/>
      <c r="Q1712" s="366"/>
    </row>
    <row r="1713" spans="16:17" x14ac:dyDescent="0.25">
      <c r="P1713" s="220"/>
      <c r="Q1713" s="366"/>
    </row>
    <row r="1714" spans="16:17" x14ac:dyDescent="0.25">
      <c r="P1714" s="220"/>
      <c r="Q1714" s="366"/>
    </row>
    <row r="1715" spans="16:17" x14ac:dyDescent="0.25">
      <c r="P1715" s="220"/>
      <c r="Q1715" s="366"/>
    </row>
    <row r="1716" spans="16:17" x14ac:dyDescent="0.25">
      <c r="P1716" s="220"/>
      <c r="Q1716" s="366"/>
    </row>
    <row r="1717" spans="16:17" x14ac:dyDescent="0.25">
      <c r="P1717" s="220"/>
      <c r="Q1717" s="366"/>
    </row>
    <row r="1718" spans="16:17" x14ac:dyDescent="0.25">
      <c r="P1718" s="220"/>
      <c r="Q1718" s="366"/>
    </row>
    <row r="1719" spans="16:17" x14ac:dyDescent="0.25">
      <c r="P1719" s="220"/>
      <c r="Q1719" s="366"/>
    </row>
    <row r="1720" spans="16:17" x14ac:dyDescent="0.25">
      <c r="P1720" s="220"/>
      <c r="Q1720" s="366"/>
    </row>
    <row r="1721" spans="16:17" x14ac:dyDescent="0.25">
      <c r="P1721" s="220"/>
      <c r="Q1721" s="366"/>
    </row>
    <row r="1722" spans="16:17" x14ac:dyDescent="0.25">
      <c r="P1722" s="220"/>
      <c r="Q1722" s="366"/>
    </row>
    <row r="1723" spans="16:17" x14ac:dyDescent="0.25">
      <c r="P1723" s="220"/>
      <c r="Q1723" s="366"/>
    </row>
    <row r="1724" spans="16:17" x14ac:dyDescent="0.25">
      <c r="P1724" s="220"/>
      <c r="Q1724" s="366"/>
    </row>
    <row r="1725" spans="16:17" x14ac:dyDescent="0.25">
      <c r="P1725" s="220"/>
      <c r="Q1725" s="366"/>
    </row>
    <row r="1726" spans="16:17" x14ac:dyDescent="0.25">
      <c r="P1726" s="220"/>
      <c r="Q1726" s="366"/>
    </row>
    <row r="1727" spans="16:17" x14ac:dyDescent="0.25">
      <c r="P1727" s="220"/>
      <c r="Q1727" s="366"/>
    </row>
    <row r="1728" spans="16:17" x14ac:dyDescent="0.25">
      <c r="P1728" s="220"/>
      <c r="Q1728" s="366"/>
    </row>
    <row r="1729" spans="16:17" x14ac:dyDescent="0.25">
      <c r="P1729" s="220"/>
      <c r="Q1729" s="366"/>
    </row>
    <row r="1730" spans="16:17" x14ac:dyDescent="0.25">
      <c r="P1730" s="220"/>
      <c r="Q1730" s="366"/>
    </row>
    <row r="1731" spans="16:17" x14ac:dyDescent="0.25">
      <c r="P1731" s="220"/>
      <c r="Q1731" s="366"/>
    </row>
    <row r="1732" spans="16:17" x14ac:dyDescent="0.25">
      <c r="P1732" s="220"/>
      <c r="Q1732" s="366"/>
    </row>
    <row r="1733" spans="16:17" x14ac:dyDescent="0.25">
      <c r="P1733" s="220"/>
      <c r="Q1733" s="366"/>
    </row>
    <row r="1734" spans="16:17" x14ac:dyDescent="0.25">
      <c r="P1734" s="220"/>
      <c r="Q1734" s="366"/>
    </row>
    <row r="1735" spans="16:17" x14ac:dyDescent="0.25">
      <c r="P1735" s="220"/>
      <c r="Q1735" s="366"/>
    </row>
    <row r="1736" spans="16:17" x14ac:dyDescent="0.25">
      <c r="P1736" s="220"/>
      <c r="Q1736" s="366"/>
    </row>
    <row r="1737" spans="16:17" x14ac:dyDescent="0.25">
      <c r="P1737" s="220"/>
      <c r="Q1737" s="366"/>
    </row>
    <row r="1738" spans="16:17" x14ac:dyDescent="0.25">
      <c r="P1738" s="220"/>
      <c r="Q1738" s="366"/>
    </row>
    <row r="1739" spans="16:17" x14ac:dyDescent="0.25">
      <c r="P1739" s="220"/>
      <c r="Q1739" s="366"/>
    </row>
    <row r="1740" spans="16:17" x14ac:dyDescent="0.25">
      <c r="P1740" s="220"/>
      <c r="Q1740" s="366"/>
    </row>
    <row r="1741" spans="16:17" x14ac:dyDescent="0.25">
      <c r="P1741" s="220"/>
      <c r="Q1741" s="366"/>
    </row>
    <row r="1742" spans="16:17" x14ac:dyDescent="0.25">
      <c r="P1742" s="220"/>
      <c r="Q1742" s="366"/>
    </row>
    <row r="1743" spans="16:17" x14ac:dyDescent="0.25">
      <c r="P1743" s="220"/>
      <c r="Q1743" s="366"/>
    </row>
    <row r="1744" spans="16:17" x14ac:dyDescent="0.25">
      <c r="P1744" s="220"/>
      <c r="Q1744" s="366"/>
    </row>
    <row r="1745" spans="16:17" x14ac:dyDescent="0.25">
      <c r="P1745" s="220"/>
      <c r="Q1745" s="366"/>
    </row>
    <row r="1746" spans="16:17" x14ac:dyDescent="0.25">
      <c r="P1746" s="220"/>
      <c r="Q1746" s="366"/>
    </row>
    <row r="1747" spans="16:17" x14ac:dyDescent="0.25">
      <c r="P1747" s="220"/>
      <c r="Q1747" s="366"/>
    </row>
    <row r="1748" spans="16:17" x14ac:dyDescent="0.25">
      <c r="P1748" s="220"/>
      <c r="Q1748" s="366"/>
    </row>
    <row r="1749" spans="16:17" x14ac:dyDescent="0.25">
      <c r="P1749" s="220"/>
      <c r="Q1749" s="366"/>
    </row>
    <row r="1750" spans="16:17" x14ac:dyDescent="0.25">
      <c r="P1750" s="220"/>
      <c r="Q1750" s="366"/>
    </row>
    <row r="1751" spans="16:17" x14ac:dyDescent="0.25">
      <c r="P1751" s="220"/>
      <c r="Q1751" s="366"/>
    </row>
    <row r="1752" spans="16:17" x14ac:dyDescent="0.25">
      <c r="P1752" s="220"/>
      <c r="Q1752" s="366"/>
    </row>
    <row r="1753" spans="16:17" x14ac:dyDescent="0.25">
      <c r="P1753" s="220"/>
      <c r="Q1753" s="366"/>
    </row>
    <row r="1754" spans="16:17" x14ac:dyDescent="0.25">
      <c r="P1754" s="220"/>
      <c r="Q1754" s="366"/>
    </row>
    <row r="1755" spans="16:17" x14ac:dyDescent="0.25">
      <c r="P1755" s="220"/>
      <c r="Q1755" s="366"/>
    </row>
    <row r="1756" spans="16:17" x14ac:dyDescent="0.25">
      <c r="P1756" s="220"/>
      <c r="Q1756" s="366"/>
    </row>
    <row r="1757" spans="16:17" x14ac:dyDescent="0.25">
      <c r="P1757" s="220"/>
      <c r="Q1757" s="366"/>
    </row>
    <row r="1758" spans="16:17" x14ac:dyDescent="0.25">
      <c r="P1758" s="220"/>
      <c r="Q1758" s="366"/>
    </row>
    <row r="1759" spans="16:17" x14ac:dyDescent="0.25">
      <c r="P1759" s="220"/>
      <c r="Q1759" s="366"/>
    </row>
    <row r="1760" spans="16:17" x14ac:dyDescent="0.25">
      <c r="P1760" s="220"/>
      <c r="Q1760" s="366"/>
    </row>
    <row r="1761" spans="16:17" x14ac:dyDescent="0.25">
      <c r="P1761" s="220"/>
      <c r="Q1761" s="366"/>
    </row>
    <row r="1762" spans="16:17" x14ac:dyDescent="0.25">
      <c r="P1762" s="220"/>
      <c r="Q1762" s="366"/>
    </row>
    <row r="1763" spans="16:17" x14ac:dyDescent="0.25">
      <c r="P1763" s="220"/>
      <c r="Q1763" s="366"/>
    </row>
    <row r="1764" spans="16:17" x14ac:dyDescent="0.25">
      <c r="P1764" s="220"/>
      <c r="Q1764" s="366"/>
    </row>
    <row r="1765" spans="16:17" x14ac:dyDescent="0.25">
      <c r="P1765" s="220"/>
      <c r="Q1765" s="366"/>
    </row>
    <row r="1766" spans="16:17" x14ac:dyDescent="0.25">
      <c r="P1766" s="220"/>
      <c r="Q1766" s="366"/>
    </row>
    <row r="1767" spans="16:17" x14ac:dyDescent="0.25">
      <c r="P1767" s="220"/>
      <c r="Q1767" s="366"/>
    </row>
    <row r="1768" spans="16:17" x14ac:dyDescent="0.25">
      <c r="P1768" s="220"/>
      <c r="Q1768" s="366"/>
    </row>
    <row r="1769" spans="16:17" x14ac:dyDescent="0.25">
      <c r="P1769" s="220"/>
      <c r="Q1769" s="366"/>
    </row>
    <row r="1770" spans="16:17" x14ac:dyDescent="0.25">
      <c r="P1770" s="220"/>
      <c r="Q1770" s="366"/>
    </row>
    <row r="1771" spans="16:17" x14ac:dyDescent="0.25">
      <c r="P1771" s="220"/>
      <c r="Q1771" s="366"/>
    </row>
    <row r="1772" spans="16:17" x14ac:dyDescent="0.25">
      <c r="P1772" s="220"/>
      <c r="Q1772" s="366"/>
    </row>
    <row r="1773" spans="16:17" x14ac:dyDescent="0.25">
      <c r="P1773" s="220"/>
      <c r="Q1773" s="366"/>
    </row>
    <row r="1774" spans="16:17" x14ac:dyDescent="0.25">
      <c r="P1774" s="220"/>
      <c r="Q1774" s="366"/>
    </row>
    <row r="1775" spans="16:17" x14ac:dyDescent="0.25">
      <c r="P1775" s="220"/>
      <c r="Q1775" s="366"/>
    </row>
    <row r="1776" spans="16:17" x14ac:dyDescent="0.25">
      <c r="P1776" s="220"/>
      <c r="Q1776" s="366"/>
    </row>
    <row r="1777" spans="16:17" x14ac:dyDescent="0.25">
      <c r="P1777" s="220"/>
      <c r="Q1777" s="366"/>
    </row>
    <row r="1778" spans="16:17" x14ac:dyDescent="0.25">
      <c r="P1778" s="220"/>
      <c r="Q1778" s="366"/>
    </row>
    <row r="1779" spans="16:17" x14ac:dyDescent="0.25">
      <c r="P1779" s="220"/>
      <c r="Q1779" s="366"/>
    </row>
    <row r="1780" spans="16:17" x14ac:dyDescent="0.25">
      <c r="P1780" s="220"/>
      <c r="Q1780" s="366"/>
    </row>
    <row r="1781" spans="16:17" x14ac:dyDescent="0.25">
      <c r="P1781" s="220"/>
      <c r="Q1781" s="366"/>
    </row>
    <row r="1782" spans="16:17" x14ac:dyDescent="0.25">
      <c r="P1782" s="220"/>
      <c r="Q1782" s="366"/>
    </row>
    <row r="1783" spans="16:17" x14ac:dyDescent="0.25">
      <c r="P1783" s="220"/>
      <c r="Q1783" s="366"/>
    </row>
    <row r="1784" spans="16:17" x14ac:dyDescent="0.25">
      <c r="P1784" s="220"/>
      <c r="Q1784" s="366"/>
    </row>
    <row r="1785" spans="16:17" x14ac:dyDescent="0.25">
      <c r="P1785" s="220"/>
      <c r="Q1785" s="366"/>
    </row>
    <row r="1786" spans="16:17" x14ac:dyDescent="0.25">
      <c r="P1786" s="220"/>
      <c r="Q1786" s="366"/>
    </row>
    <row r="1787" spans="16:17" x14ac:dyDescent="0.25">
      <c r="P1787" s="220"/>
      <c r="Q1787" s="366"/>
    </row>
    <row r="1788" spans="16:17" x14ac:dyDescent="0.25">
      <c r="P1788" s="220"/>
      <c r="Q1788" s="366"/>
    </row>
    <row r="1789" spans="16:17" x14ac:dyDescent="0.25">
      <c r="P1789" s="220"/>
      <c r="Q1789" s="366"/>
    </row>
    <row r="1790" spans="16:17" x14ac:dyDescent="0.25">
      <c r="P1790" s="220"/>
      <c r="Q1790" s="366"/>
    </row>
    <row r="1791" spans="16:17" x14ac:dyDescent="0.25">
      <c r="P1791" s="220"/>
      <c r="Q1791" s="366"/>
    </row>
    <row r="1792" spans="16:17" x14ac:dyDescent="0.25">
      <c r="P1792" s="220"/>
      <c r="Q1792" s="366"/>
    </row>
    <row r="1793" spans="16:17" x14ac:dyDescent="0.25">
      <c r="P1793" s="220"/>
      <c r="Q1793" s="366"/>
    </row>
    <row r="1794" spans="16:17" x14ac:dyDescent="0.25">
      <c r="P1794" s="220"/>
      <c r="Q1794" s="366"/>
    </row>
    <row r="1795" spans="16:17" x14ac:dyDescent="0.25">
      <c r="P1795" s="220"/>
      <c r="Q1795" s="366"/>
    </row>
    <row r="1796" spans="16:17" x14ac:dyDescent="0.25">
      <c r="P1796" s="220"/>
      <c r="Q1796" s="366"/>
    </row>
    <row r="1797" spans="16:17" x14ac:dyDescent="0.25">
      <c r="P1797" s="220"/>
      <c r="Q1797" s="366"/>
    </row>
    <row r="1798" spans="16:17" x14ac:dyDescent="0.25">
      <c r="P1798" s="220"/>
      <c r="Q1798" s="366"/>
    </row>
    <row r="1799" spans="16:17" x14ac:dyDescent="0.25">
      <c r="P1799" s="220"/>
      <c r="Q1799" s="366"/>
    </row>
    <row r="1800" spans="16:17" x14ac:dyDescent="0.25">
      <c r="P1800" s="220"/>
      <c r="Q1800" s="366"/>
    </row>
    <row r="1801" spans="16:17" x14ac:dyDescent="0.25">
      <c r="P1801" s="220"/>
      <c r="Q1801" s="366"/>
    </row>
    <row r="1802" spans="16:17" x14ac:dyDescent="0.25">
      <c r="P1802" s="220"/>
      <c r="Q1802" s="366"/>
    </row>
    <row r="1803" spans="16:17" x14ac:dyDescent="0.25">
      <c r="P1803" s="220"/>
      <c r="Q1803" s="366"/>
    </row>
    <row r="1804" spans="16:17" x14ac:dyDescent="0.25">
      <c r="P1804" s="220"/>
      <c r="Q1804" s="366"/>
    </row>
    <row r="1805" spans="16:17" x14ac:dyDescent="0.25">
      <c r="P1805" s="220"/>
      <c r="Q1805" s="366"/>
    </row>
    <row r="1806" spans="16:17" x14ac:dyDescent="0.25">
      <c r="P1806" s="220"/>
      <c r="Q1806" s="366"/>
    </row>
    <row r="1807" spans="16:17" x14ac:dyDescent="0.25">
      <c r="P1807" s="220"/>
      <c r="Q1807" s="366"/>
    </row>
    <row r="1808" spans="16:17" x14ac:dyDescent="0.25">
      <c r="P1808" s="220"/>
      <c r="Q1808" s="366"/>
    </row>
    <row r="1809" spans="16:17" x14ac:dyDescent="0.25">
      <c r="P1809" s="220"/>
      <c r="Q1809" s="366"/>
    </row>
    <row r="1810" spans="16:17" x14ac:dyDescent="0.25">
      <c r="P1810" s="220"/>
      <c r="Q1810" s="366"/>
    </row>
    <row r="1811" spans="16:17" x14ac:dyDescent="0.25">
      <c r="P1811" s="220"/>
      <c r="Q1811" s="366"/>
    </row>
    <row r="1812" spans="16:17" x14ac:dyDescent="0.25">
      <c r="P1812" s="220"/>
      <c r="Q1812" s="366"/>
    </row>
    <row r="1813" spans="16:17" x14ac:dyDescent="0.25">
      <c r="P1813" s="220"/>
      <c r="Q1813" s="366"/>
    </row>
    <row r="1814" spans="16:17" x14ac:dyDescent="0.25">
      <c r="P1814" s="220"/>
      <c r="Q1814" s="366"/>
    </row>
    <row r="1815" spans="16:17" x14ac:dyDescent="0.25">
      <c r="P1815" s="220"/>
      <c r="Q1815" s="366"/>
    </row>
    <row r="1816" spans="16:17" x14ac:dyDescent="0.25">
      <c r="P1816" s="220"/>
      <c r="Q1816" s="366"/>
    </row>
    <row r="1817" spans="16:17" x14ac:dyDescent="0.25">
      <c r="P1817" s="220"/>
      <c r="Q1817" s="366"/>
    </row>
    <row r="1818" spans="16:17" x14ac:dyDescent="0.25">
      <c r="P1818" s="220"/>
      <c r="Q1818" s="366"/>
    </row>
    <row r="1819" spans="16:17" x14ac:dyDescent="0.25">
      <c r="P1819" s="220"/>
      <c r="Q1819" s="366"/>
    </row>
    <row r="1820" spans="16:17" x14ac:dyDescent="0.25">
      <c r="P1820" s="220"/>
      <c r="Q1820" s="366"/>
    </row>
    <row r="1821" spans="16:17" x14ac:dyDescent="0.25">
      <c r="P1821" s="220"/>
      <c r="Q1821" s="366"/>
    </row>
    <row r="1822" spans="16:17" x14ac:dyDescent="0.25">
      <c r="P1822" s="220"/>
      <c r="Q1822" s="366"/>
    </row>
    <row r="1823" spans="16:17" x14ac:dyDescent="0.25">
      <c r="P1823" s="220"/>
      <c r="Q1823" s="366"/>
    </row>
    <row r="1824" spans="16:17" x14ac:dyDescent="0.25">
      <c r="P1824" s="220"/>
      <c r="Q1824" s="366"/>
    </row>
    <row r="1825" spans="16:17" x14ac:dyDescent="0.25">
      <c r="P1825" s="220"/>
      <c r="Q1825" s="366"/>
    </row>
    <row r="1826" spans="16:17" x14ac:dyDescent="0.25">
      <c r="P1826" s="220"/>
      <c r="Q1826" s="366"/>
    </row>
    <row r="1827" spans="16:17" x14ac:dyDescent="0.25">
      <c r="P1827" s="220"/>
      <c r="Q1827" s="366"/>
    </row>
    <row r="1828" spans="16:17" x14ac:dyDescent="0.25">
      <c r="P1828" s="220"/>
      <c r="Q1828" s="366"/>
    </row>
    <row r="1829" spans="16:17" x14ac:dyDescent="0.25">
      <c r="P1829" s="220"/>
      <c r="Q1829" s="366"/>
    </row>
    <row r="1830" spans="16:17" x14ac:dyDescent="0.25">
      <c r="P1830" s="220"/>
      <c r="Q1830" s="366"/>
    </row>
    <row r="1831" spans="16:17" x14ac:dyDescent="0.25">
      <c r="P1831" s="220"/>
      <c r="Q1831" s="366"/>
    </row>
    <row r="1832" spans="16:17" x14ac:dyDescent="0.25">
      <c r="P1832" s="220"/>
      <c r="Q1832" s="366"/>
    </row>
    <row r="1833" spans="16:17" x14ac:dyDescent="0.25">
      <c r="P1833" s="220"/>
      <c r="Q1833" s="366"/>
    </row>
    <row r="1834" spans="16:17" x14ac:dyDescent="0.25">
      <c r="P1834" s="220"/>
      <c r="Q1834" s="366"/>
    </row>
    <row r="1835" spans="16:17" x14ac:dyDescent="0.25">
      <c r="P1835" s="220"/>
      <c r="Q1835" s="366"/>
    </row>
    <row r="1836" spans="16:17" x14ac:dyDescent="0.25">
      <c r="P1836" s="220"/>
      <c r="Q1836" s="366"/>
    </row>
    <row r="1837" spans="16:17" x14ac:dyDescent="0.25">
      <c r="P1837" s="220"/>
      <c r="Q1837" s="366"/>
    </row>
    <row r="1838" spans="16:17" x14ac:dyDescent="0.25">
      <c r="P1838" s="220"/>
      <c r="Q1838" s="366"/>
    </row>
    <row r="1839" spans="16:17" x14ac:dyDescent="0.25">
      <c r="P1839" s="220"/>
      <c r="Q1839" s="366"/>
    </row>
    <row r="1840" spans="16:17" x14ac:dyDescent="0.25">
      <c r="P1840" s="220"/>
      <c r="Q1840" s="366"/>
    </row>
    <row r="1841" spans="16:17" x14ac:dyDescent="0.25">
      <c r="P1841" s="220"/>
      <c r="Q1841" s="366"/>
    </row>
    <row r="1842" spans="16:17" x14ac:dyDescent="0.25">
      <c r="P1842" s="220"/>
      <c r="Q1842" s="366"/>
    </row>
    <row r="1843" spans="16:17" x14ac:dyDescent="0.25">
      <c r="P1843" s="220"/>
      <c r="Q1843" s="366"/>
    </row>
    <row r="1844" spans="16:17" x14ac:dyDescent="0.25">
      <c r="P1844" s="220"/>
      <c r="Q1844" s="366"/>
    </row>
    <row r="1845" spans="16:17" x14ac:dyDescent="0.25">
      <c r="P1845" s="220"/>
      <c r="Q1845" s="366"/>
    </row>
    <row r="1846" spans="16:17" x14ac:dyDescent="0.25">
      <c r="P1846" s="220"/>
      <c r="Q1846" s="366"/>
    </row>
    <row r="1847" spans="16:17" x14ac:dyDescent="0.25">
      <c r="P1847" s="220"/>
      <c r="Q1847" s="366"/>
    </row>
    <row r="1848" spans="16:17" x14ac:dyDescent="0.25">
      <c r="P1848" s="220"/>
      <c r="Q1848" s="366"/>
    </row>
    <row r="1849" spans="16:17" x14ac:dyDescent="0.25">
      <c r="P1849" s="220"/>
      <c r="Q1849" s="366"/>
    </row>
    <row r="1850" spans="16:17" x14ac:dyDescent="0.25">
      <c r="P1850" s="220"/>
      <c r="Q1850" s="366"/>
    </row>
    <row r="1851" spans="16:17" x14ac:dyDescent="0.25">
      <c r="P1851" s="220"/>
      <c r="Q1851" s="366"/>
    </row>
    <row r="1852" spans="16:17" x14ac:dyDescent="0.25">
      <c r="P1852" s="220"/>
      <c r="Q1852" s="366"/>
    </row>
    <row r="1853" spans="16:17" x14ac:dyDescent="0.25">
      <c r="P1853" s="220"/>
      <c r="Q1853" s="366"/>
    </row>
    <row r="1854" spans="16:17" x14ac:dyDescent="0.25">
      <c r="P1854" s="220"/>
      <c r="Q1854" s="366"/>
    </row>
    <row r="1855" spans="16:17" x14ac:dyDescent="0.25">
      <c r="P1855" s="220"/>
      <c r="Q1855" s="366"/>
    </row>
    <row r="1856" spans="16:17" x14ac:dyDescent="0.25">
      <c r="P1856" s="220"/>
      <c r="Q1856" s="366"/>
    </row>
    <row r="1857" spans="16:17" x14ac:dyDescent="0.25">
      <c r="P1857" s="220"/>
      <c r="Q1857" s="366"/>
    </row>
    <row r="1858" spans="16:17" x14ac:dyDescent="0.25">
      <c r="P1858" s="220"/>
      <c r="Q1858" s="366"/>
    </row>
    <row r="1859" spans="16:17" x14ac:dyDescent="0.25">
      <c r="P1859" s="220"/>
      <c r="Q1859" s="366"/>
    </row>
    <row r="1860" spans="16:17" x14ac:dyDescent="0.25">
      <c r="P1860" s="220"/>
      <c r="Q1860" s="366"/>
    </row>
    <row r="1861" spans="16:17" x14ac:dyDescent="0.25">
      <c r="P1861" s="220"/>
      <c r="Q1861" s="366"/>
    </row>
    <row r="1862" spans="16:17" x14ac:dyDescent="0.25">
      <c r="P1862" s="220"/>
      <c r="Q1862" s="366"/>
    </row>
    <row r="1863" spans="16:17" x14ac:dyDescent="0.25">
      <c r="P1863" s="220"/>
      <c r="Q1863" s="366"/>
    </row>
    <row r="1864" spans="16:17" x14ac:dyDescent="0.25">
      <c r="P1864" s="220"/>
      <c r="Q1864" s="366"/>
    </row>
    <row r="1865" spans="16:17" x14ac:dyDescent="0.25">
      <c r="P1865" s="220"/>
      <c r="Q1865" s="366"/>
    </row>
    <row r="1866" spans="16:17" x14ac:dyDescent="0.25">
      <c r="P1866" s="220"/>
      <c r="Q1866" s="366"/>
    </row>
    <row r="1867" spans="16:17" x14ac:dyDescent="0.25">
      <c r="P1867" s="220"/>
      <c r="Q1867" s="366"/>
    </row>
    <row r="1868" spans="16:17" x14ac:dyDescent="0.25">
      <c r="P1868" s="220"/>
      <c r="Q1868" s="366"/>
    </row>
    <row r="1869" spans="16:17" x14ac:dyDescent="0.25">
      <c r="P1869" s="220"/>
      <c r="Q1869" s="366"/>
    </row>
    <row r="1870" spans="16:17" x14ac:dyDescent="0.25">
      <c r="P1870" s="220"/>
      <c r="Q1870" s="366"/>
    </row>
    <row r="1871" spans="16:17" x14ac:dyDescent="0.25">
      <c r="P1871" s="220"/>
      <c r="Q1871" s="366"/>
    </row>
    <row r="1872" spans="16:17" x14ac:dyDescent="0.25">
      <c r="P1872" s="220"/>
      <c r="Q1872" s="366"/>
    </row>
    <row r="1873" spans="16:17" x14ac:dyDescent="0.25">
      <c r="P1873" s="220"/>
      <c r="Q1873" s="366"/>
    </row>
    <row r="1874" spans="16:17" x14ac:dyDescent="0.25">
      <c r="P1874" s="220"/>
      <c r="Q1874" s="366"/>
    </row>
    <row r="1875" spans="16:17" x14ac:dyDescent="0.25">
      <c r="P1875" s="220"/>
      <c r="Q1875" s="366"/>
    </row>
    <row r="1876" spans="16:17" x14ac:dyDescent="0.25">
      <c r="P1876" s="220"/>
      <c r="Q1876" s="366"/>
    </row>
    <row r="1877" spans="16:17" x14ac:dyDescent="0.25">
      <c r="P1877" s="220"/>
      <c r="Q1877" s="366"/>
    </row>
    <row r="1878" spans="16:17" x14ac:dyDescent="0.25">
      <c r="P1878" s="220"/>
      <c r="Q1878" s="366"/>
    </row>
    <row r="1879" spans="16:17" x14ac:dyDescent="0.25">
      <c r="P1879" s="220"/>
      <c r="Q1879" s="366"/>
    </row>
    <row r="1880" spans="16:17" x14ac:dyDescent="0.25">
      <c r="P1880" s="220"/>
      <c r="Q1880" s="366"/>
    </row>
    <row r="1881" spans="16:17" x14ac:dyDescent="0.25">
      <c r="P1881" s="220"/>
      <c r="Q1881" s="366"/>
    </row>
    <row r="1882" spans="16:17" x14ac:dyDescent="0.25">
      <c r="P1882" s="220"/>
      <c r="Q1882" s="366"/>
    </row>
    <row r="1883" spans="16:17" x14ac:dyDescent="0.25">
      <c r="P1883" s="220"/>
      <c r="Q1883" s="366"/>
    </row>
    <row r="1884" spans="16:17" x14ac:dyDescent="0.25">
      <c r="P1884" s="220"/>
      <c r="Q1884" s="366"/>
    </row>
    <row r="1885" spans="16:17" x14ac:dyDescent="0.25">
      <c r="P1885" s="220"/>
      <c r="Q1885" s="366"/>
    </row>
    <row r="1886" spans="16:17" x14ac:dyDescent="0.25">
      <c r="P1886" s="220"/>
      <c r="Q1886" s="366"/>
    </row>
    <row r="1887" spans="16:17" x14ac:dyDescent="0.25">
      <c r="P1887" s="220"/>
      <c r="Q1887" s="366"/>
    </row>
    <row r="1888" spans="16:17" x14ac:dyDescent="0.25">
      <c r="P1888" s="220"/>
      <c r="Q1888" s="366"/>
    </row>
    <row r="1889" spans="16:17" x14ac:dyDescent="0.25">
      <c r="P1889" s="220"/>
      <c r="Q1889" s="366"/>
    </row>
    <row r="1890" spans="16:17" x14ac:dyDescent="0.25">
      <c r="P1890" s="220"/>
      <c r="Q1890" s="366"/>
    </row>
    <row r="1891" spans="16:17" x14ac:dyDescent="0.25">
      <c r="P1891" s="220"/>
      <c r="Q1891" s="366"/>
    </row>
    <row r="1892" spans="16:17" x14ac:dyDescent="0.25">
      <c r="P1892" s="220"/>
      <c r="Q1892" s="366"/>
    </row>
    <row r="1893" spans="16:17" x14ac:dyDescent="0.25">
      <c r="P1893" s="220"/>
      <c r="Q1893" s="366"/>
    </row>
    <row r="1894" spans="16:17" x14ac:dyDescent="0.25">
      <c r="P1894" s="220"/>
      <c r="Q1894" s="366"/>
    </row>
    <row r="1895" spans="16:17" x14ac:dyDescent="0.25">
      <c r="P1895" s="220"/>
      <c r="Q1895" s="366"/>
    </row>
    <row r="1896" spans="16:17" x14ac:dyDescent="0.25">
      <c r="P1896" s="220"/>
      <c r="Q1896" s="366"/>
    </row>
    <row r="1897" spans="16:17" x14ac:dyDescent="0.25">
      <c r="P1897" s="220"/>
      <c r="Q1897" s="366"/>
    </row>
    <row r="1898" spans="16:17" x14ac:dyDescent="0.25">
      <c r="P1898" s="220"/>
      <c r="Q1898" s="366"/>
    </row>
    <row r="1899" spans="16:17" x14ac:dyDescent="0.25">
      <c r="P1899" s="220"/>
      <c r="Q1899" s="366"/>
    </row>
    <row r="1900" spans="16:17" x14ac:dyDescent="0.25">
      <c r="P1900" s="220"/>
      <c r="Q1900" s="366"/>
    </row>
    <row r="1901" spans="16:17" x14ac:dyDescent="0.25">
      <c r="P1901" s="220"/>
      <c r="Q1901" s="366"/>
    </row>
    <row r="1902" spans="16:17" x14ac:dyDescent="0.25">
      <c r="P1902" s="220"/>
      <c r="Q1902" s="366"/>
    </row>
    <row r="1903" spans="16:17" x14ac:dyDescent="0.25">
      <c r="P1903" s="220"/>
      <c r="Q1903" s="366"/>
    </row>
    <row r="1904" spans="16:17" x14ac:dyDescent="0.25">
      <c r="P1904" s="220"/>
      <c r="Q1904" s="366"/>
    </row>
    <row r="1905" spans="16:17" x14ac:dyDescent="0.25">
      <c r="P1905" s="220"/>
      <c r="Q1905" s="366"/>
    </row>
    <row r="1906" spans="16:17" x14ac:dyDescent="0.25">
      <c r="P1906" s="220"/>
      <c r="Q1906" s="366"/>
    </row>
    <row r="1907" spans="16:17" x14ac:dyDescent="0.25">
      <c r="P1907" s="220"/>
      <c r="Q1907" s="366"/>
    </row>
    <row r="1908" spans="16:17" x14ac:dyDescent="0.25">
      <c r="P1908" s="220"/>
      <c r="Q1908" s="366"/>
    </row>
    <row r="1909" spans="16:17" x14ac:dyDescent="0.25">
      <c r="P1909" s="220"/>
      <c r="Q1909" s="366"/>
    </row>
    <row r="1910" spans="16:17" x14ac:dyDescent="0.25">
      <c r="P1910" s="220"/>
      <c r="Q1910" s="366"/>
    </row>
    <row r="1911" spans="16:17" x14ac:dyDescent="0.25">
      <c r="P1911" s="220"/>
      <c r="Q1911" s="366"/>
    </row>
    <row r="1912" spans="16:17" x14ac:dyDescent="0.25">
      <c r="P1912" s="220"/>
      <c r="Q1912" s="366"/>
    </row>
    <row r="1913" spans="16:17" x14ac:dyDescent="0.25">
      <c r="P1913" s="220"/>
      <c r="Q1913" s="366"/>
    </row>
    <row r="1914" spans="16:17" x14ac:dyDescent="0.25">
      <c r="P1914" s="220"/>
      <c r="Q1914" s="366"/>
    </row>
    <row r="1915" spans="16:17" x14ac:dyDescent="0.25">
      <c r="P1915" s="220"/>
      <c r="Q1915" s="366"/>
    </row>
    <row r="1916" spans="16:17" x14ac:dyDescent="0.25">
      <c r="P1916" s="220"/>
      <c r="Q1916" s="366"/>
    </row>
    <row r="1917" spans="16:17" x14ac:dyDescent="0.25">
      <c r="P1917" s="220"/>
      <c r="Q1917" s="366"/>
    </row>
    <row r="1918" spans="16:17" x14ac:dyDescent="0.25">
      <c r="P1918" s="220"/>
      <c r="Q1918" s="366"/>
    </row>
    <row r="1919" spans="16:17" x14ac:dyDescent="0.25">
      <c r="P1919" s="220"/>
      <c r="Q1919" s="366"/>
    </row>
    <row r="1920" spans="16:17" x14ac:dyDescent="0.25">
      <c r="P1920" s="220"/>
      <c r="Q1920" s="366"/>
    </row>
    <row r="1921" spans="16:17" x14ac:dyDescent="0.25">
      <c r="P1921" s="220"/>
      <c r="Q1921" s="366"/>
    </row>
    <row r="1922" spans="16:17" x14ac:dyDescent="0.25">
      <c r="P1922" s="220"/>
      <c r="Q1922" s="366"/>
    </row>
    <row r="1923" spans="16:17" x14ac:dyDescent="0.25">
      <c r="P1923" s="220"/>
      <c r="Q1923" s="366"/>
    </row>
    <row r="1924" spans="16:17" x14ac:dyDescent="0.25">
      <c r="P1924" s="220"/>
      <c r="Q1924" s="366"/>
    </row>
    <row r="1925" spans="16:17" x14ac:dyDescent="0.25">
      <c r="P1925" s="220"/>
      <c r="Q1925" s="366"/>
    </row>
    <row r="1926" spans="16:17" x14ac:dyDescent="0.25">
      <c r="P1926" s="220"/>
      <c r="Q1926" s="366"/>
    </row>
    <row r="1927" spans="16:17" x14ac:dyDescent="0.25">
      <c r="P1927" s="220"/>
      <c r="Q1927" s="366"/>
    </row>
    <row r="1928" spans="16:17" x14ac:dyDescent="0.25">
      <c r="P1928" s="220"/>
      <c r="Q1928" s="366"/>
    </row>
    <row r="1929" spans="16:17" x14ac:dyDescent="0.25">
      <c r="P1929" s="220"/>
      <c r="Q1929" s="366"/>
    </row>
    <row r="1930" spans="16:17" x14ac:dyDescent="0.25">
      <c r="P1930" s="220"/>
      <c r="Q1930" s="366"/>
    </row>
    <row r="1931" spans="16:17" x14ac:dyDescent="0.25">
      <c r="P1931" s="220"/>
      <c r="Q1931" s="366"/>
    </row>
    <row r="1932" spans="16:17" x14ac:dyDescent="0.25">
      <c r="P1932" s="220"/>
      <c r="Q1932" s="366"/>
    </row>
    <row r="1933" spans="16:17" x14ac:dyDescent="0.25">
      <c r="P1933" s="220"/>
      <c r="Q1933" s="366"/>
    </row>
    <row r="1934" spans="16:17" x14ac:dyDescent="0.25">
      <c r="P1934" s="220"/>
      <c r="Q1934" s="366"/>
    </row>
    <row r="1935" spans="16:17" x14ac:dyDescent="0.25">
      <c r="P1935" s="220"/>
      <c r="Q1935" s="366"/>
    </row>
    <row r="1936" spans="16:17" x14ac:dyDescent="0.25">
      <c r="P1936" s="220"/>
      <c r="Q1936" s="366"/>
    </row>
    <row r="1937" spans="16:17" x14ac:dyDescent="0.25">
      <c r="P1937" s="220"/>
      <c r="Q1937" s="366"/>
    </row>
    <row r="1938" spans="16:17" x14ac:dyDescent="0.25">
      <c r="P1938" s="220"/>
      <c r="Q1938" s="366"/>
    </row>
    <row r="1939" spans="16:17" x14ac:dyDescent="0.25">
      <c r="P1939" s="220"/>
      <c r="Q1939" s="366"/>
    </row>
    <row r="1940" spans="16:17" x14ac:dyDescent="0.25">
      <c r="P1940" s="220"/>
      <c r="Q1940" s="366"/>
    </row>
    <row r="1941" spans="16:17" x14ac:dyDescent="0.25">
      <c r="P1941" s="220"/>
      <c r="Q1941" s="366"/>
    </row>
    <row r="1942" spans="16:17" x14ac:dyDescent="0.25">
      <c r="P1942" s="220"/>
      <c r="Q1942" s="366"/>
    </row>
    <row r="1943" spans="16:17" x14ac:dyDescent="0.25">
      <c r="P1943" s="220"/>
      <c r="Q1943" s="366"/>
    </row>
    <row r="1944" spans="16:17" x14ac:dyDescent="0.25">
      <c r="P1944" s="220"/>
      <c r="Q1944" s="366"/>
    </row>
    <row r="1945" spans="16:17" x14ac:dyDescent="0.25">
      <c r="P1945" s="220"/>
      <c r="Q1945" s="366"/>
    </row>
    <row r="1946" spans="16:17" x14ac:dyDescent="0.25">
      <c r="P1946" s="220"/>
      <c r="Q1946" s="366"/>
    </row>
    <row r="1947" spans="16:17" x14ac:dyDescent="0.25">
      <c r="P1947" s="220"/>
      <c r="Q1947" s="366"/>
    </row>
    <row r="1948" spans="16:17" x14ac:dyDescent="0.25">
      <c r="P1948" s="220"/>
      <c r="Q1948" s="366"/>
    </row>
    <row r="1949" spans="16:17" x14ac:dyDescent="0.25">
      <c r="P1949" s="220"/>
      <c r="Q1949" s="366"/>
    </row>
    <row r="1950" spans="16:17" x14ac:dyDescent="0.25">
      <c r="P1950" s="220"/>
      <c r="Q1950" s="366"/>
    </row>
    <row r="1951" spans="16:17" x14ac:dyDescent="0.25">
      <c r="P1951" s="220"/>
      <c r="Q1951" s="366"/>
    </row>
    <row r="1952" spans="16:17" x14ac:dyDescent="0.25">
      <c r="P1952" s="220"/>
      <c r="Q1952" s="366"/>
    </row>
    <row r="1953" spans="16:17" x14ac:dyDescent="0.25">
      <c r="P1953" s="220"/>
      <c r="Q1953" s="366"/>
    </row>
    <row r="1954" spans="16:17" x14ac:dyDescent="0.25">
      <c r="P1954" s="220"/>
      <c r="Q1954" s="366"/>
    </row>
    <row r="1955" spans="16:17" x14ac:dyDescent="0.25">
      <c r="P1955" s="220"/>
      <c r="Q1955" s="366"/>
    </row>
    <row r="1956" spans="16:17" x14ac:dyDescent="0.25">
      <c r="P1956" s="220"/>
      <c r="Q1956" s="366"/>
    </row>
    <row r="1957" spans="16:17" x14ac:dyDescent="0.25">
      <c r="P1957" s="220"/>
      <c r="Q1957" s="366"/>
    </row>
    <row r="1958" spans="16:17" x14ac:dyDescent="0.25">
      <c r="P1958" s="220"/>
      <c r="Q1958" s="366"/>
    </row>
    <row r="1959" spans="16:17" x14ac:dyDescent="0.25">
      <c r="P1959" s="220"/>
      <c r="Q1959" s="366"/>
    </row>
    <row r="1960" spans="16:17" x14ac:dyDescent="0.25">
      <c r="P1960" s="220"/>
      <c r="Q1960" s="366"/>
    </row>
    <row r="1961" spans="16:17" x14ac:dyDescent="0.25">
      <c r="P1961" s="220"/>
      <c r="Q1961" s="366"/>
    </row>
    <row r="1962" spans="16:17" x14ac:dyDescent="0.25">
      <c r="P1962" s="220"/>
      <c r="Q1962" s="366"/>
    </row>
    <row r="1963" spans="16:17" x14ac:dyDescent="0.25">
      <c r="P1963" s="220"/>
      <c r="Q1963" s="366"/>
    </row>
    <row r="1964" spans="16:17" x14ac:dyDescent="0.25">
      <c r="P1964" s="220"/>
      <c r="Q1964" s="366"/>
    </row>
    <row r="1965" spans="16:17" x14ac:dyDescent="0.25">
      <c r="P1965" s="220"/>
      <c r="Q1965" s="366"/>
    </row>
    <row r="1966" spans="16:17" x14ac:dyDescent="0.25">
      <c r="P1966" s="220"/>
      <c r="Q1966" s="366"/>
    </row>
    <row r="1967" spans="16:17" x14ac:dyDescent="0.25">
      <c r="P1967" s="220"/>
      <c r="Q1967" s="366"/>
    </row>
    <row r="1968" spans="16:17" x14ac:dyDescent="0.25">
      <c r="P1968" s="220"/>
      <c r="Q1968" s="366"/>
    </row>
    <row r="1969" spans="16:17" x14ac:dyDescent="0.25">
      <c r="P1969" s="220"/>
      <c r="Q1969" s="366"/>
    </row>
    <row r="1970" spans="16:17" x14ac:dyDescent="0.25">
      <c r="P1970" s="220"/>
      <c r="Q1970" s="366"/>
    </row>
    <row r="1971" spans="16:17" x14ac:dyDescent="0.25">
      <c r="P1971" s="220"/>
      <c r="Q1971" s="366"/>
    </row>
    <row r="1972" spans="16:17" x14ac:dyDescent="0.25">
      <c r="P1972" s="220"/>
      <c r="Q1972" s="366"/>
    </row>
    <row r="1973" spans="16:17" x14ac:dyDescent="0.25">
      <c r="P1973" s="220"/>
      <c r="Q1973" s="366"/>
    </row>
    <row r="1974" spans="16:17" x14ac:dyDescent="0.25">
      <c r="P1974" s="220"/>
      <c r="Q1974" s="366"/>
    </row>
    <row r="1975" spans="16:17" x14ac:dyDescent="0.25">
      <c r="P1975" s="220"/>
      <c r="Q1975" s="366"/>
    </row>
    <row r="1976" spans="16:17" x14ac:dyDescent="0.25">
      <c r="P1976" s="220"/>
      <c r="Q1976" s="366"/>
    </row>
    <row r="1977" spans="16:17" x14ac:dyDescent="0.25">
      <c r="P1977" s="220"/>
      <c r="Q1977" s="366"/>
    </row>
    <row r="1978" spans="16:17" x14ac:dyDescent="0.25">
      <c r="P1978" s="220"/>
      <c r="Q1978" s="366"/>
    </row>
    <row r="1979" spans="16:17" x14ac:dyDescent="0.25">
      <c r="P1979" s="220"/>
      <c r="Q1979" s="366"/>
    </row>
    <row r="1980" spans="16:17" x14ac:dyDescent="0.25">
      <c r="P1980" s="220"/>
      <c r="Q1980" s="366"/>
    </row>
    <row r="1981" spans="16:17" x14ac:dyDescent="0.25">
      <c r="P1981" s="220"/>
      <c r="Q1981" s="366"/>
    </row>
    <row r="1982" spans="16:17" x14ac:dyDescent="0.25">
      <c r="P1982" s="220"/>
      <c r="Q1982" s="366"/>
    </row>
    <row r="1983" spans="16:17" x14ac:dyDescent="0.25">
      <c r="P1983" s="220"/>
      <c r="Q1983" s="366"/>
    </row>
    <row r="1984" spans="16:17" x14ac:dyDescent="0.25">
      <c r="P1984" s="220"/>
      <c r="Q1984" s="366"/>
    </row>
    <row r="1985" spans="16:17" x14ac:dyDescent="0.25">
      <c r="P1985" s="220"/>
      <c r="Q1985" s="366"/>
    </row>
    <row r="1986" spans="16:17" x14ac:dyDescent="0.25">
      <c r="P1986" s="220"/>
      <c r="Q1986" s="366"/>
    </row>
    <row r="1987" spans="16:17" x14ac:dyDescent="0.25">
      <c r="P1987" s="220"/>
      <c r="Q1987" s="366"/>
    </row>
    <row r="1988" spans="16:17" x14ac:dyDescent="0.25">
      <c r="P1988" s="220"/>
      <c r="Q1988" s="366"/>
    </row>
    <row r="1989" spans="16:17" x14ac:dyDescent="0.25">
      <c r="P1989" s="220"/>
      <c r="Q1989" s="366"/>
    </row>
    <row r="1990" spans="16:17" x14ac:dyDescent="0.25">
      <c r="P1990" s="220"/>
      <c r="Q1990" s="366"/>
    </row>
    <row r="1991" spans="16:17" x14ac:dyDescent="0.25">
      <c r="P1991" s="220"/>
      <c r="Q1991" s="366"/>
    </row>
    <row r="1992" spans="16:17" x14ac:dyDescent="0.25">
      <c r="P1992" s="220"/>
      <c r="Q1992" s="366"/>
    </row>
    <row r="1993" spans="16:17" x14ac:dyDescent="0.25">
      <c r="P1993" s="220"/>
      <c r="Q1993" s="366"/>
    </row>
    <row r="1994" spans="16:17" x14ac:dyDescent="0.25">
      <c r="P1994" s="220"/>
      <c r="Q1994" s="366"/>
    </row>
    <row r="1995" spans="16:17" x14ac:dyDescent="0.25">
      <c r="P1995" s="220"/>
      <c r="Q1995" s="366"/>
    </row>
    <row r="1996" spans="16:17" x14ac:dyDescent="0.25">
      <c r="P1996" s="220"/>
      <c r="Q1996" s="366"/>
    </row>
    <row r="1997" spans="16:17" x14ac:dyDescent="0.25">
      <c r="P1997" s="220"/>
      <c r="Q1997" s="366"/>
    </row>
    <row r="1998" spans="16:17" x14ac:dyDescent="0.25">
      <c r="P1998" s="220"/>
      <c r="Q1998" s="366"/>
    </row>
    <row r="1999" spans="16:17" x14ac:dyDescent="0.25">
      <c r="P1999" s="220"/>
      <c r="Q1999" s="366"/>
    </row>
    <row r="2000" spans="16:17" x14ac:dyDescent="0.25">
      <c r="P2000" s="220"/>
      <c r="Q2000" s="366"/>
    </row>
    <row r="2001" spans="16:17" x14ac:dyDescent="0.25">
      <c r="P2001" s="220"/>
      <c r="Q2001" s="366"/>
    </row>
    <row r="2002" spans="16:17" x14ac:dyDescent="0.25">
      <c r="P2002" s="220"/>
      <c r="Q2002" s="366"/>
    </row>
    <row r="2003" spans="16:17" x14ac:dyDescent="0.25">
      <c r="P2003" s="220"/>
      <c r="Q2003" s="366"/>
    </row>
    <row r="2004" spans="16:17" x14ac:dyDescent="0.25">
      <c r="P2004" s="220"/>
      <c r="Q2004" s="366"/>
    </row>
    <row r="2005" spans="16:17" x14ac:dyDescent="0.25">
      <c r="P2005" s="220"/>
      <c r="Q2005" s="366"/>
    </row>
    <row r="2006" spans="16:17" x14ac:dyDescent="0.25">
      <c r="P2006" s="220"/>
      <c r="Q2006" s="366"/>
    </row>
    <row r="2007" spans="16:17" x14ac:dyDescent="0.25">
      <c r="P2007" s="220"/>
      <c r="Q2007" s="366"/>
    </row>
    <row r="2008" spans="16:17" x14ac:dyDescent="0.25">
      <c r="P2008" s="220"/>
      <c r="Q2008" s="366"/>
    </row>
    <row r="2009" spans="16:17" x14ac:dyDescent="0.25">
      <c r="P2009" s="220"/>
      <c r="Q2009" s="366"/>
    </row>
    <row r="2010" spans="16:17" x14ac:dyDescent="0.25">
      <c r="P2010" s="220"/>
      <c r="Q2010" s="366"/>
    </row>
    <row r="2011" spans="16:17" x14ac:dyDescent="0.25">
      <c r="P2011" s="220"/>
      <c r="Q2011" s="366"/>
    </row>
    <row r="2012" spans="16:17" x14ac:dyDescent="0.25">
      <c r="P2012" s="220"/>
      <c r="Q2012" s="366"/>
    </row>
    <row r="2013" spans="16:17" x14ac:dyDescent="0.25">
      <c r="P2013" s="220"/>
      <c r="Q2013" s="366"/>
    </row>
    <row r="2014" spans="16:17" x14ac:dyDescent="0.25">
      <c r="P2014" s="220"/>
      <c r="Q2014" s="366"/>
    </row>
    <row r="2015" spans="16:17" x14ac:dyDescent="0.25">
      <c r="P2015" s="220"/>
      <c r="Q2015" s="366"/>
    </row>
    <row r="2016" spans="16:17" x14ac:dyDescent="0.25">
      <c r="P2016" s="220"/>
      <c r="Q2016" s="366"/>
    </row>
    <row r="2017" spans="16:17" x14ac:dyDescent="0.25">
      <c r="P2017" s="220"/>
      <c r="Q2017" s="366"/>
    </row>
    <row r="2018" spans="16:17" x14ac:dyDescent="0.25">
      <c r="P2018" s="220"/>
      <c r="Q2018" s="366"/>
    </row>
    <row r="2019" spans="16:17" x14ac:dyDescent="0.25">
      <c r="P2019" s="220"/>
      <c r="Q2019" s="366"/>
    </row>
    <row r="2020" spans="16:17" x14ac:dyDescent="0.25">
      <c r="P2020" s="220"/>
      <c r="Q2020" s="366"/>
    </row>
    <row r="2021" spans="16:17" x14ac:dyDescent="0.25">
      <c r="P2021" s="220"/>
      <c r="Q2021" s="366"/>
    </row>
    <row r="2022" spans="16:17" x14ac:dyDescent="0.25">
      <c r="P2022" s="220"/>
      <c r="Q2022" s="366"/>
    </row>
    <row r="2023" spans="16:17" x14ac:dyDescent="0.25">
      <c r="P2023" s="220"/>
      <c r="Q2023" s="366"/>
    </row>
    <row r="2024" spans="16:17" x14ac:dyDescent="0.25">
      <c r="P2024" s="220"/>
      <c r="Q2024" s="366"/>
    </row>
    <row r="2025" spans="16:17" x14ac:dyDescent="0.25">
      <c r="P2025" s="220"/>
      <c r="Q2025" s="366"/>
    </row>
    <row r="2026" spans="16:17" x14ac:dyDescent="0.25">
      <c r="P2026" s="220"/>
      <c r="Q2026" s="366"/>
    </row>
    <row r="2027" spans="16:17" x14ac:dyDescent="0.25">
      <c r="P2027" s="220"/>
      <c r="Q2027" s="366"/>
    </row>
    <row r="2028" spans="16:17" x14ac:dyDescent="0.25">
      <c r="P2028" s="220"/>
      <c r="Q2028" s="366"/>
    </row>
    <row r="2029" spans="16:17" x14ac:dyDescent="0.25">
      <c r="P2029" s="220"/>
      <c r="Q2029" s="366"/>
    </row>
    <row r="2030" spans="16:17" x14ac:dyDescent="0.25">
      <c r="P2030" s="220"/>
      <c r="Q2030" s="366"/>
    </row>
    <row r="2031" spans="16:17" x14ac:dyDescent="0.25">
      <c r="P2031" s="220"/>
      <c r="Q2031" s="366"/>
    </row>
    <row r="2032" spans="16:17" x14ac:dyDescent="0.25">
      <c r="P2032" s="220"/>
      <c r="Q2032" s="366"/>
    </row>
    <row r="2033" spans="16:17" x14ac:dyDescent="0.25">
      <c r="P2033" s="220"/>
      <c r="Q2033" s="366"/>
    </row>
    <row r="2034" spans="16:17" x14ac:dyDescent="0.25">
      <c r="P2034" s="220"/>
      <c r="Q2034" s="366"/>
    </row>
    <row r="2035" spans="16:17" x14ac:dyDescent="0.25">
      <c r="P2035" s="220"/>
      <c r="Q2035" s="366"/>
    </row>
    <row r="2036" spans="16:17" x14ac:dyDescent="0.25">
      <c r="P2036" s="220"/>
      <c r="Q2036" s="366"/>
    </row>
    <row r="2037" spans="16:17" x14ac:dyDescent="0.25">
      <c r="P2037" s="220"/>
      <c r="Q2037" s="366"/>
    </row>
    <row r="2038" spans="16:17" x14ac:dyDescent="0.25">
      <c r="P2038" s="220"/>
      <c r="Q2038" s="366"/>
    </row>
    <row r="2039" spans="16:17" x14ac:dyDescent="0.25">
      <c r="P2039" s="220"/>
      <c r="Q2039" s="366"/>
    </row>
    <row r="2040" spans="16:17" x14ac:dyDescent="0.25">
      <c r="P2040" s="220"/>
      <c r="Q2040" s="366"/>
    </row>
    <row r="2041" spans="16:17" x14ac:dyDescent="0.25">
      <c r="P2041" s="220"/>
      <c r="Q2041" s="366"/>
    </row>
    <row r="2042" spans="16:17" x14ac:dyDescent="0.25">
      <c r="P2042" s="220"/>
      <c r="Q2042" s="366"/>
    </row>
    <row r="2043" spans="16:17" x14ac:dyDescent="0.25">
      <c r="P2043" s="220"/>
      <c r="Q2043" s="366"/>
    </row>
    <row r="2044" spans="16:17" x14ac:dyDescent="0.25">
      <c r="P2044" s="220"/>
      <c r="Q2044" s="366"/>
    </row>
    <row r="2045" spans="16:17" x14ac:dyDescent="0.25">
      <c r="P2045" s="220"/>
      <c r="Q2045" s="366"/>
    </row>
    <row r="2046" spans="16:17" x14ac:dyDescent="0.25">
      <c r="P2046" s="220"/>
      <c r="Q2046" s="366"/>
    </row>
    <row r="2047" spans="16:17" x14ac:dyDescent="0.25">
      <c r="P2047" s="220"/>
      <c r="Q2047" s="366"/>
    </row>
    <row r="2048" spans="16:17" x14ac:dyDescent="0.25">
      <c r="P2048" s="220"/>
      <c r="Q2048" s="366"/>
    </row>
    <row r="2049" spans="16:17" x14ac:dyDescent="0.25">
      <c r="P2049" s="220"/>
      <c r="Q2049" s="366"/>
    </row>
    <row r="2050" spans="16:17" x14ac:dyDescent="0.25">
      <c r="P2050" s="220"/>
      <c r="Q2050" s="366"/>
    </row>
    <row r="2051" spans="16:17" x14ac:dyDescent="0.25">
      <c r="P2051" s="220"/>
      <c r="Q2051" s="366"/>
    </row>
    <row r="2052" spans="16:17" x14ac:dyDescent="0.25">
      <c r="P2052" s="220"/>
      <c r="Q2052" s="366"/>
    </row>
    <row r="2053" spans="16:17" x14ac:dyDescent="0.25">
      <c r="P2053" s="220"/>
      <c r="Q2053" s="366"/>
    </row>
    <row r="2054" spans="16:17" x14ac:dyDescent="0.25">
      <c r="P2054" s="220"/>
      <c r="Q2054" s="366"/>
    </row>
    <row r="2055" spans="16:17" x14ac:dyDescent="0.25">
      <c r="P2055" s="220"/>
      <c r="Q2055" s="366"/>
    </row>
    <row r="2056" spans="16:17" x14ac:dyDescent="0.25">
      <c r="P2056" s="220"/>
      <c r="Q2056" s="366"/>
    </row>
    <row r="2057" spans="16:17" x14ac:dyDescent="0.25">
      <c r="P2057" s="220"/>
      <c r="Q2057" s="366"/>
    </row>
    <row r="2058" spans="16:17" x14ac:dyDescent="0.25">
      <c r="P2058" s="220"/>
      <c r="Q2058" s="366"/>
    </row>
    <row r="2059" spans="16:17" x14ac:dyDescent="0.25">
      <c r="P2059" s="220"/>
      <c r="Q2059" s="366"/>
    </row>
    <row r="2060" spans="16:17" x14ac:dyDescent="0.25">
      <c r="P2060" s="220"/>
      <c r="Q2060" s="366"/>
    </row>
    <row r="2061" spans="16:17" x14ac:dyDescent="0.25">
      <c r="P2061" s="220"/>
      <c r="Q2061" s="366"/>
    </row>
    <row r="2062" spans="16:17" x14ac:dyDescent="0.25">
      <c r="P2062" s="220"/>
      <c r="Q2062" s="366"/>
    </row>
    <row r="2063" spans="16:17" x14ac:dyDescent="0.25">
      <c r="P2063" s="220"/>
      <c r="Q2063" s="366"/>
    </row>
    <row r="2064" spans="16:17" x14ac:dyDescent="0.25">
      <c r="P2064" s="220"/>
      <c r="Q2064" s="366"/>
    </row>
    <row r="2065" spans="16:17" x14ac:dyDescent="0.25">
      <c r="P2065" s="220"/>
      <c r="Q2065" s="366"/>
    </row>
    <row r="2066" spans="16:17" x14ac:dyDescent="0.25">
      <c r="P2066" s="220"/>
      <c r="Q2066" s="366"/>
    </row>
    <row r="2067" spans="16:17" x14ac:dyDescent="0.25">
      <c r="P2067" s="220"/>
      <c r="Q2067" s="366"/>
    </row>
    <row r="2068" spans="16:17" x14ac:dyDescent="0.25">
      <c r="P2068" s="220"/>
      <c r="Q2068" s="366"/>
    </row>
    <row r="2069" spans="16:17" x14ac:dyDescent="0.25">
      <c r="P2069" s="220"/>
      <c r="Q2069" s="366"/>
    </row>
    <row r="2070" spans="16:17" x14ac:dyDescent="0.25">
      <c r="P2070" s="220"/>
      <c r="Q2070" s="366"/>
    </row>
    <row r="2071" spans="16:17" x14ac:dyDescent="0.25">
      <c r="P2071" s="220"/>
      <c r="Q2071" s="366"/>
    </row>
    <row r="2072" spans="16:17" x14ac:dyDescent="0.25">
      <c r="P2072" s="220"/>
      <c r="Q2072" s="366"/>
    </row>
    <row r="2073" spans="16:17" x14ac:dyDescent="0.25">
      <c r="P2073" s="220"/>
      <c r="Q2073" s="366"/>
    </row>
    <row r="2074" spans="16:17" x14ac:dyDescent="0.25">
      <c r="P2074" s="220"/>
      <c r="Q2074" s="366"/>
    </row>
    <row r="2075" spans="16:17" x14ac:dyDescent="0.25">
      <c r="P2075" s="220"/>
      <c r="Q2075" s="366"/>
    </row>
    <row r="2076" spans="16:17" x14ac:dyDescent="0.25">
      <c r="P2076" s="220"/>
      <c r="Q2076" s="366"/>
    </row>
    <row r="2077" spans="16:17" x14ac:dyDescent="0.25">
      <c r="P2077" s="220"/>
      <c r="Q2077" s="366"/>
    </row>
    <row r="2078" spans="16:17" x14ac:dyDescent="0.25">
      <c r="P2078" s="220"/>
      <c r="Q2078" s="366"/>
    </row>
    <row r="2079" spans="16:17" x14ac:dyDescent="0.25">
      <c r="P2079" s="220"/>
      <c r="Q2079" s="366"/>
    </row>
    <row r="2080" spans="16:17" x14ac:dyDescent="0.25">
      <c r="P2080" s="220"/>
      <c r="Q2080" s="366"/>
    </row>
    <row r="2081" spans="16:17" x14ac:dyDescent="0.25">
      <c r="P2081" s="220"/>
      <c r="Q2081" s="366"/>
    </row>
    <row r="2082" spans="16:17" x14ac:dyDescent="0.25">
      <c r="P2082" s="220"/>
      <c r="Q2082" s="366"/>
    </row>
    <row r="2083" spans="16:17" x14ac:dyDescent="0.25">
      <c r="P2083" s="220"/>
      <c r="Q2083" s="366"/>
    </row>
    <row r="2084" spans="16:17" x14ac:dyDescent="0.25">
      <c r="P2084" s="220"/>
      <c r="Q2084" s="366"/>
    </row>
    <row r="2085" spans="16:17" x14ac:dyDescent="0.25">
      <c r="P2085" s="220"/>
      <c r="Q2085" s="366"/>
    </row>
    <row r="2086" spans="16:17" x14ac:dyDescent="0.25">
      <c r="P2086" s="220"/>
      <c r="Q2086" s="366"/>
    </row>
    <row r="2087" spans="16:17" x14ac:dyDescent="0.25">
      <c r="P2087" s="220"/>
      <c r="Q2087" s="366"/>
    </row>
    <row r="2088" spans="16:17" x14ac:dyDescent="0.25">
      <c r="P2088" s="220"/>
      <c r="Q2088" s="366"/>
    </row>
    <row r="2089" spans="16:17" x14ac:dyDescent="0.25">
      <c r="P2089" s="220"/>
      <c r="Q2089" s="366"/>
    </row>
    <row r="2090" spans="16:17" x14ac:dyDescent="0.25">
      <c r="P2090" s="220"/>
      <c r="Q2090" s="366"/>
    </row>
    <row r="2091" spans="16:17" x14ac:dyDescent="0.25">
      <c r="P2091" s="220"/>
      <c r="Q2091" s="366"/>
    </row>
    <row r="2092" spans="16:17" x14ac:dyDescent="0.25">
      <c r="P2092" s="220"/>
      <c r="Q2092" s="366"/>
    </row>
    <row r="2093" spans="16:17" x14ac:dyDescent="0.25">
      <c r="P2093" s="220"/>
      <c r="Q2093" s="366"/>
    </row>
    <row r="2094" spans="16:17" x14ac:dyDescent="0.25">
      <c r="P2094" s="220"/>
      <c r="Q2094" s="366"/>
    </row>
    <row r="2095" spans="16:17" x14ac:dyDescent="0.25">
      <c r="P2095" s="220"/>
      <c r="Q2095" s="366"/>
    </row>
    <row r="2096" spans="16:17" x14ac:dyDescent="0.25">
      <c r="P2096" s="220"/>
      <c r="Q2096" s="366"/>
    </row>
    <row r="2097" spans="16:17" x14ac:dyDescent="0.25">
      <c r="P2097" s="220"/>
      <c r="Q2097" s="366"/>
    </row>
    <row r="2098" spans="16:17" x14ac:dyDescent="0.25">
      <c r="P2098" s="220"/>
      <c r="Q2098" s="366"/>
    </row>
    <row r="2099" spans="16:17" x14ac:dyDescent="0.25">
      <c r="P2099" s="220"/>
      <c r="Q2099" s="366"/>
    </row>
    <row r="2100" spans="16:17" x14ac:dyDescent="0.25">
      <c r="P2100" s="220"/>
      <c r="Q2100" s="366"/>
    </row>
    <row r="2101" spans="16:17" x14ac:dyDescent="0.25">
      <c r="P2101" s="220"/>
      <c r="Q2101" s="366"/>
    </row>
    <row r="2102" spans="16:17" x14ac:dyDescent="0.25">
      <c r="P2102" s="220"/>
      <c r="Q2102" s="366"/>
    </row>
    <row r="2103" spans="16:17" x14ac:dyDescent="0.25">
      <c r="P2103" s="220"/>
      <c r="Q2103" s="366"/>
    </row>
    <row r="2104" spans="16:17" x14ac:dyDescent="0.25">
      <c r="P2104" s="220"/>
      <c r="Q2104" s="366"/>
    </row>
    <row r="2105" spans="16:17" x14ac:dyDescent="0.25">
      <c r="P2105" s="220"/>
      <c r="Q2105" s="366"/>
    </row>
    <row r="2106" spans="16:17" x14ac:dyDescent="0.25">
      <c r="P2106" s="220"/>
      <c r="Q2106" s="366"/>
    </row>
    <row r="2107" spans="16:17" x14ac:dyDescent="0.25">
      <c r="P2107" s="220"/>
      <c r="Q2107" s="366"/>
    </row>
    <row r="2108" spans="16:17" x14ac:dyDescent="0.25">
      <c r="P2108" s="220"/>
      <c r="Q2108" s="366"/>
    </row>
    <row r="2109" spans="16:17" x14ac:dyDescent="0.25">
      <c r="P2109" s="220"/>
      <c r="Q2109" s="366"/>
    </row>
    <row r="2110" spans="16:17" x14ac:dyDescent="0.25">
      <c r="P2110" s="220"/>
      <c r="Q2110" s="366"/>
    </row>
    <row r="2111" spans="16:17" x14ac:dyDescent="0.25">
      <c r="P2111" s="220"/>
      <c r="Q2111" s="366"/>
    </row>
    <row r="2112" spans="16:17" x14ac:dyDescent="0.25">
      <c r="P2112" s="220"/>
      <c r="Q2112" s="366"/>
    </row>
    <row r="2113" spans="16:17" x14ac:dyDescent="0.25">
      <c r="P2113" s="220"/>
      <c r="Q2113" s="366"/>
    </row>
    <row r="2114" spans="16:17" x14ac:dyDescent="0.25">
      <c r="P2114" s="220"/>
      <c r="Q2114" s="366"/>
    </row>
    <row r="2115" spans="16:17" x14ac:dyDescent="0.25">
      <c r="P2115" s="220"/>
      <c r="Q2115" s="366"/>
    </row>
    <row r="2116" spans="16:17" x14ac:dyDescent="0.25">
      <c r="P2116" s="220"/>
      <c r="Q2116" s="366"/>
    </row>
    <row r="2117" spans="16:17" x14ac:dyDescent="0.25">
      <c r="P2117" s="220"/>
      <c r="Q2117" s="366"/>
    </row>
    <row r="2118" spans="16:17" x14ac:dyDescent="0.25">
      <c r="P2118" s="220"/>
      <c r="Q2118" s="366"/>
    </row>
    <row r="2119" spans="16:17" x14ac:dyDescent="0.25">
      <c r="P2119" s="220"/>
      <c r="Q2119" s="366"/>
    </row>
    <row r="2120" spans="16:17" x14ac:dyDescent="0.25">
      <c r="P2120" s="220"/>
      <c r="Q2120" s="366"/>
    </row>
    <row r="2121" spans="16:17" x14ac:dyDescent="0.25">
      <c r="P2121" s="220"/>
      <c r="Q2121" s="366"/>
    </row>
    <row r="2122" spans="16:17" x14ac:dyDescent="0.25">
      <c r="P2122" s="220"/>
      <c r="Q2122" s="366"/>
    </row>
    <row r="2123" spans="16:17" x14ac:dyDescent="0.25">
      <c r="P2123" s="220"/>
      <c r="Q2123" s="366"/>
    </row>
    <row r="2124" spans="16:17" x14ac:dyDescent="0.25">
      <c r="P2124" s="220"/>
      <c r="Q2124" s="366"/>
    </row>
    <row r="2125" spans="16:17" x14ac:dyDescent="0.25">
      <c r="P2125" s="220"/>
      <c r="Q2125" s="366"/>
    </row>
    <row r="2126" spans="16:17" x14ac:dyDescent="0.25">
      <c r="P2126" s="220"/>
      <c r="Q2126" s="366"/>
    </row>
    <row r="2127" spans="16:17" x14ac:dyDescent="0.25">
      <c r="P2127" s="220"/>
      <c r="Q2127" s="366"/>
    </row>
    <row r="2128" spans="16:17" x14ac:dyDescent="0.25">
      <c r="P2128" s="220"/>
      <c r="Q2128" s="366"/>
    </row>
    <row r="2129" spans="16:17" x14ac:dyDescent="0.25">
      <c r="P2129" s="220"/>
      <c r="Q2129" s="366"/>
    </row>
    <row r="2130" spans="16:17" x14ac:dyDescent="0.25">
      <c r="P2130" s="220"/>
      <c r="Q2130" s="366"/>
    </row>
    <row r="2131" spans="16:17" x14ac:dyDescent="0.25">
      <c r="P2131" s="220"/>
      <c r="Q2131" s="366"/>
    </row>
    <row r="2132" spans="16:17" x14ac:dyDescent="0.25">
      <c r="P2132" s="220"/>
      <c r="Q2132" s="366"/>
    </row>
    <row r="2133" spans="16:17" x14ac:dyDescent="0.25">
      <c r="P2133" s="220"/>
      <c r="Q2133" s="366"/>
    </row>
    <row r="2134" spans="16:17" x14ac:dyDescent="0.25">
      <c r="P2134" s="220"/>
      <c r="Q2134" s="366"/>
    </row>
    <row r="2135" spans="16:17" x14ac:dyDescent="0.25">
      <c r="P2135" s="220"/>
      <c r="Q2135" s="366"/>
    </row>
    <row r="2136" spans="16:17" x14ac:dyDescent="0.25">
      <c r="P2136" s="220"/>
      <c r="Q2136" s="366"/>
    </row>
    <row r="2137" spans="16:17" x14ac:dyDescent="0.25">
      <c r="P2137" s="220"/>
      <c r="Q2137" s="366"/>
    </row>
    <row r="2138" spans="16:17" x14ac:dyDescent="0.25">
      <c r="P2138" s="220"/>
      <c r="Q2138" s="366"/>
    </row>
    <row r="2139" spans="16:17" x14ac:dyDescent="0.25">
      <c r="P2139" s="220"/>
      <c r="Q2139" s="366"/>
    </row>
    <row r="2140" spans="16:17" x14ac:dyDescent="0.25">
      <c r="P2140" s="220"/>
      <c r="Q2140" s="366"/>
    </row>
    <row r="2141" spans="16:17" x14ac:dyDescent="0.25">
      <c r="P2141" s="220"/>
      <c r="Q2141" s="366"/>
    </row>
    <row r="2142" spans="16:17" x14ac:dyDescent="0.25">
      <c r="P2142" s="220"/>
      <c r="Q2142" s="366"/>
    </row>
    <row r="2143" spans="16:17" x14ac:dyDescent="0.25">
      <c r="P2143" s="220"/>
      <c r="Q2143" s="366"/>
    </row>
    <row r="2144" spans="16:17" x14ac:dyDescent="0.25">
      <c r="P2144" s="220"/>
      <c r="Q2144" s="366"/>
    </row>
    <row r="2145" spans="16:17" x14ac:dyDescent="0.25">
      <c r="P2145" s="220"/>
      <c r="Q2145" s="366"/>
    </row>
    <row r="2146" spans="16:17" x14ac:dyDescent="0.25">
      <c r="P2146" s="220"/>
      <c r="Q2146" s="366"/>
    </row>
    <row r="2147" spans="16:17" x14ac:dyDescent="0.25">
      <c r="P2147" s="220"/>
      <c r="Q2147" s="366"/>
    </row>
    <row r="2148" spans="16:17" x14ac:dyDescent="0.25">
      <c r="P2148" s="220"/>
      <c r="Q2148" s="366"/>
    </row>
    <row r="2149" spans="16:17" x14ac:dyDescent="0.25">
      <c r="P2149" s="220"/>
      <c r="Q2149" s="366"/>
    </row>
    <row r="2150" spans="16:17" x14ac:dyDescent="0.25">
      <c r="P2150" s="220"/>
      <c r="Q2150" s="366"/>
    </row>
    <row r="2151" spans="16:17" x14ac:dyDescent="0.25">
      <c r="P2151" s="220"/>
      <c r="Q2151" s="366"/>
    </row>
    <row r="2152" spans="16:17" x14ac:dyDescent="0.25">
      <c r="P2152" s="220"/>
      <c r="Q2152" s="366"/>
    </row>
    <row r="2153" spans="16:17" x14ac:dyDescent="0.25">
      <c r="P2153" s="220"/>
      <c r="Q2153" s="366"/>
    </row>
    <row r="2154" spans="16:17" x14ac:dyDescent="0.25">
      <c r="P2154" s="220"/>
      <c r="Q2154" s="366"/>
    </row>
    <row r="2155" spans="16:17" x14ac:dyDescent="0.25">
      <c r="P2155" s="220"/>
      <c r="Q2155" s="366"/>
    </row>
    <row r="2156" spans="16:17" x14ac:dyDescent="0.25">
      <c r="P2156" s="220"/>
      <c r="Q2156" s="366"/>
    </row>
    <row r="2157" spans="16:17" x14ac:dyDescent="0.25">
      <c r="P2157" s="220"/>
      <c r="Q2157" s="366"/>
    </row>
    <row r="2158" spans="16:17" x14ac:dyDescent="0.25">
      <c r="P2158" s="220"/>
      <c r="Q2158" s="366"/>
    </row>
    <row r="2159" spans="16:17" x14ac:dyDescent="0.25">
      <c r="P2159" s="220"/>
      <c r="Q2159" s="366"/>
    </row>
    <row r="2160" spans="16:17" x14ac:dyDescent="0.25">
      <c r="P2160" s="220"/>
      <c r="Q2160" s="366"/>
    </row>
    <row r="2161" spans="16:17" x14ac:dyDescent="0.25">
      <c r="P2161" s="220"/>
      <c r="Q2161" s="366"/>
    </row>
    <row r="2162" spans="16:17" x14ac:dyDescent="0.25">
      <c r="P2162" s="220"/>
      <c r="Q2162" s="366"/>
    </row>
    <row r="2163" spans="16:17" x14ac:dyDescent="0.25">
      <c r="P2163" s="220"/>
      <c r="Q2163" s="366"/>
    </row>
    <row r="2164" spans="16:17" x14ac:dyDescent="0.25">
      <c r="P2164" s="220"/>
      <c r="Q2164" s="366"/>
    </row>
    <row r="2165" spans="16:17" x14ac:dyDescent="0.25">
      <c r="P2165" s="220"/>
      <c r="Q2165" s="366"/>
    </row>
    <row r="2166" spans="16:17" x14ac:dyDescent="0.25">
      <c r="P2166" s="220"/>
      <c r="Q2166" s="366"/>
    </row>
    <row r="2167" spans="16:17" x14ac:dyDescent="0.25">
      <c r="P2167" s="220"/>
      <c r="Q2167" s="366"/>
    </row>
    <row r="2168" spans="16:17" x14ac:dyDescent="0.25">
      <c r="P2168" s="220"/>
      <c r="Q2168" s="366"/>
    </row>
    <row r="2169" spans="16:17" x14ac:dyDescent="0.25">
      <c r="P2169" s="220"/>
      <c r="Q2169" s="366"/>
    </row>
    <row r="2170" spans="16:17" x14ac:dyDescent="0.25">
      <c r="P2170" s="220"/>
      <c r="Q2170" s="366"/>
    </row>
    <row r="2171" spans="16:17" x14ac:dyDescent="0.25">
      <c r="P2171" s="220"/>
      <c r="Q2171" s="366"/>
    </row>
    <row r="2172" spans="16:17" x14ac:dyDescent="0.25">
      <c r="P2172" s="220"/>
      <c r="Q2172" s="366"/>
    </row>
    <row r="2173" spans="16:17" x14ac:dyDescent="0.25">
      <c r="P2173" s="220"/>
      <c r="Q2173" s="366"/>
    </row>
    <row r="2174" spans="16:17" x14ac:dyDescent="0.25">
      <c r="P2174" s="220"/>
      <c r="Q2174" s="366"/>
    </row>
    <row r="2175" spans="16:17" x14ac:dyDescent="0.25">
      <c r="P2175" s="220"/>
      <c r="Q2175" s="366"/>
    </row>
    <row r="2176" spans="16:17" x14ac:dyDescent="0.25">
      <c r="P2176" s="220"/>
      <c r="Q2176" s="366"/>
    </row>
    <row r="2177" spans="16:17" x14ac:dyDescent="0.25">
      <c r="P2177" s="220"/>
      <c r="Q2177" s="366"/>
    </row>
    <row r="2178" spans="16:17" x14ac:dyDescent="0.25">
      <c r="P2178" s="220"/>
      <c r="Q2178" s="366"/>
    </row>
    <row r="2179" spans="16:17" x14ac:dyDescent="0.25">
      <c r="P2179" s="220"/>
      <c r="Q2179" s="366"/>
    </row>
    <row r="2180" spans="16:17" x14ac:dyDescent="0.25">
      <c r="P2180" s="220"/>
      <c r="Q2180" s="366"/>
    </row>
    <row r="2181" spans="16:17" x14ac:dyDescent="0.25">
      <c r="P2181" s="220"/>
      <c r="Q2181" s="366"/>
    </row>
    <row r="2182" spans="16:17" x14ac:dyDescent="0.25">
      <c r="P2182" s="220"/>
      <c r="Q2182" s="366"/>
    </row>
    <row r="2183" spans="16:17" x14ac:dyDescent="0.25">
      <c r="P2183" s="220"/>
      <c r="Q2183" s="366"/>
    </row>
    <row r="2184" spans="16:17" x14ac:dyDescent="0.25">
      <c r="P2184" s="220"/>
      <c r="Q2184" s="366"/>
    </row>
    <row r="2185" spans="16:17" x14ac:dyDescent="0.25">
      <c r="P2185" s="220"/>
      <c r="Q2185" s="366"/>
    </row>
    <row r="2186" spans="16:17" x14ac:dyDescent="0.25">
      <c r="P2186" s="220"/>
      <c r="Q2186" s="366"/>
    </row>
    <row r="2187" spans="16:17" x14ac:dyDescent="0.25">
      <c r="P2187" s="220"/>
      <c r="Q2187" s="366"/>
    </row>
    <row r="2188" spans="16:17" x14ac:dyDescent="0.25">
      <c r="P2188" s="220"/>
      <c r="Q2188" s="366"/>
    </row>
    <row r="2189" spans="16:17" x14ac:dyDescent="0.25">
      <c r="P2189" s="220"/>
      <c r="Q2189" s="366"/>
    </row>
    <row r="2190" spans="16:17" x14ac:dyDescent="0.25">
      <c r="P2190" s="220"/>
      <c r="Q2190" s="366"/>
    </row>
    <row r="2191" spans="16:17" x14ac:dyDescent="0.25">
      <c r="P2191" s="220"/>
      <c r="Q2191" s="366"/>
    </row>
    <row r="2192" spans="16:17" x14ac:dyDescent="0.25">
      <c r="P2192" s="220"/>
      <c r="Q2192" s="366"/>
    </row>
    <row r="2193" spans="16:17" x14ac:dyDescent="0.25">
      <c r="P2193" s="220"/>
      <c r="Q2193" s="366"/>
    </row>
    <row r="2194" spans="16:17" x14ac:dyDescent="0.25">
      <c r="P2194" s="220"/>
      <c r="Q2194" s="366"/>
    </row>
    <row r="2195" spans="16:17" x14ac:dyDescent="0.25">
      <c r="P2195" s="220"/>
      <c r="Q2195" s="366"/>
    </row>
    <row r="2196" spans="16:17" x14ac:dyDescent="0.25">
      <c r="P2196" s="220"/>
      <c r="Q2196" s="366"/>
    </row>
    <row r="2197" spans="16:17" x14ac:dyDescent="0.25">
      <c r="P2197" s="220"/>
      <c r="Q2197" s="366"/>
    </row>
    <row r="2198" spans="16:17" x14ac:dyDescent="0.25">
      <c r="P2198" s="220"/>
      <c r="Q2198" s="366"/>
    </row>
    <row r="2199" spans="16:17" x14ac:dyDescent="0.25">
      <c r="P2199" s="220"/>
      <c r="Q2199" s="366"/>
    </row>
    <row r="2200" spans="16:17" x14ac:dyDescent="0.25">
      <c r="P2200" s="220"/>
      <c r="Q2200" s="366"/>
    </row>
    <row r="2201" spans="16:17" x14ac:dyDescent="0.25">
      <c r="P2201" s="220"/>
      <c r="Q2201" s="366"/>
    </row>
    <row r="2202" spans="16:17" x14ac:dyDescent="0.25">
      <c r="P2202" s="220"/>
      <c r="Q2202" s="366"/>
    </row>
    <row r="2203" spans="16:17" x14ac:dyDescent="0.25">
      <c r="P2203" s="220"/>
      <c r="Q2203" s="366"/>
    </row>
    <row r="2204" spans="16:17" x14ac:dyDescent="0.25">
      <c r="P2204" s="220"/>
      <c r="Q2204" s="366"/>
    </row>
    <row r="2205" spans="16:17" x14ac:dyDescent="0.25">
      <c r="P2205" s="220"/>
      <c r="Q2205" s="366"/>
    </row>
    <row r="2206" spans="16:17" x14ac:dyDescent="0.25">
      <c r="P2206" s="220"/>
      <c r="Q2206" s="366"/>
    </row>
    <row r="2207" spans="16:17" x14ac:dyDescent="0.25">
      <c r="P2207" s="220"/>
      <c r="Q2207" s="366"/>
    </row>
    <row r="2208" spans="16:17" x14ac:dyDescent="0.25">
      <c r="P2208" s="220"/>
      <c r="Q2208" s="366"/>
    </row>
    <row r="2209" spans="16:17" x14ac:dyDescent="0.25">
      <c r="P2209" s="220"/>
      <c r="Q2209" s="366"/>
    </row>
    <row r="2210" spans="16:17" x14ac:dyDescent="0.25">
      <c r="P2210" s="220"/>
      <c r="Q2210" s="366"/>
    </row>
    <row r="2211" spans="16:17" x14ac:dyDescent="0.25">
      <c r="P2211" s="220"/>
      <c r="Q2211" s="366"/>
    </row>
    <row r="2212" spans="16:17" x14ac:dyDescent="0.25">
      <c r="P2212" s="220"/>
      <c r="Q2212" s="366"/>
    </row>
    <row r="2213" spans="16:17" x14ac:dyDescent="0.25">
      <c r="P2213" s="220"/>
      <c r="Q2213" s="366"/>
    </row>
    <row r="2214" spans="16:17" x14ac:dyDescent="0.25">
      <c r="P2214" s="220"/>
      <c r="Q2214" s="366"/>
    </row>
    <row r="2215" spans="16:17" x14ac:dyDescent="0.25">
      <c r="P2215" s="220"/>
      <c r="Q2215" s="366"/>
    </row>
    <row r="2216" spans="16:17" x14ac:dyDescent="0.25">
      <c r="P2216" s="220"/>
      <c r="Q2216" s="366"/>
    </row>
    <row r="2217" spans="16:17" x14ac:dyDescent="0.25">
      <c r="P2217" s="220"/>
      <c r="Q2217" s="366"/>
    </row>
    <row r="2218" spans="16:17" x14ac:dyDescent="0.25">
      <c r="P2218" s="220"/>
      <c r="Q2218" s="366"/>
    </row>
    <row r="2219" spans="16:17" x14ac:dyDescent="0.25">
      <c r="P2219" s="220"/>
      <c r="Q2219" s="366"/>
    </row>
    <row r="2220" spans="16:17" x14ac:dyDescent="0.25">
      <c r="P2220" s="220"/>
      <c r="Q2220" s="366"/>
    </row>
    <row r="2221" spans="16:17" x14ac:dyDescent="0.25">
      <c r="P2221" s="220"/>
      <c r="Q2221" s="366"/>
    </row>
    <row r="2222" spans="16:17" x14ac:dyDescent="0.25">
      <c r="P2222" s="220"/>
      <c r="Q2222" s="366"/>
    </row>
    <row r="2223" spans="16:17" x14ac:dyDescent="0.25">
      <c r="P2223" s="220"/>
      <c r="Q2223" s="366"/>
    </row>
    <row r="2224" spans="16:17" x14ac:dyDescent="0.25">
      <c r="P2224" s="220"/>
      <c r="Q2224" s="366"/>
    </row>
    <row r="2225" spans="16:17" x14ac:dyDescent="0.25">
      <c r="P2225" s="220"/>
      <c r="Q2225" s="366"/>
    </row>
    <row r="2226" spans="16:17" x14ac:dyDescent="0.25">
      <c r="P2226" s="220"/>
      <c r="Q2226" s="366"/>
    </row>
    <row r="2227" spans="16:17" x14ac:dyDescent="0.25">
      <c r="P2227" s="220"/>
      <c r="Q2227" s="366"/>
    </row>
    <row r="2228" spans="16:17" x14ac:dyDescent="0.25">
      <c r="P2228" s="220"/>
      <c r="Q2228" s="366"/>
    </row>
    <row r="2229" spans="16:17" x14ac:dyDescent="0.25">
      <c r="P2229" s="220"/>
      <c r="Q2229" s="366"/>
    </row>
    <row r="2230" spans="16:17" x14ac:dyDescent="0.25">
      <c r="P2230" s="220"/>
      <c r="Q2230" s="366"/>
    </row>
    <row r="2231" spans="16:17" x14ac:dyDescent="0.25">
      <c r="P2231" s="220"/>
      <c r="Q2231" s="366"/>
    </row>
    <row r="2232" spans="16:17" x14ac:dyDescent="0.25">
      <c r="P2232" s="220"/>
      <c r="Q2232" s="366"/>
    </row>
    <row r="2233" spans="16:17" x14ac:dyDescent="0.25">
      <c r="P2233" s="220"/>
      <c r="Q2233" s="366"/>
    </row>
    <row r="2234" spans="16:17" x14ac:dyDescent="0.25">
      <c r="P2234" s="220"/>
      <c r="Q2234" s="366"/>
    </row>
    <row r="2235" spans="16:17" x14ac:dyDescent="0.25">
      <c r="P2235" s="220"/>
      <c r="Q2235" s="366"/>
    </row>
    <row r="2236" spans="16:17" x14ac:dyDescent="0.25">
      <c r="P2236" s="220"/>
      <c r="Q2236" s="366"/>
    </row>
    <row r="2237" spans="16:17" x14ac:dyDescent="0.25">
      <c r="P2237" s="220"/>
      <c r="Q2237" s="366"/>
    </row>
    <row r="2238" spans="16:17" x14ac:dyDescent="0.25">
      <c r="P2238" s="220"/>
      <c r="Q2238" s="366"/>
    </row>
    <row r="2239" spans="16:17" x14ac:dyDescent="0.25">
      <c r="P2239" s="220"/>
      <c r="Q2239" s="366"/>
    </row>
    <row r="2240" spans="16:17" x14ac:dyDescent="0.25">
      <c r="P2240" s="220"/>
      <c r="Q2240" s="366"/>
    </row>
    <row r="2241" spans="16:17" x14ac:dyDescent="0.25">
      <c r="P2241" s="220"/>
      <c r="Q2241" s="366"/>
    </row>
    <row r="2242" spans="16:17" x14ac:dyDescent="0.25">
      <c r="P2242" s="220"/>
      <c r="Q2242" s="366"/>
    </row>
    <row r="2243" spans="16:17" x14ac:dyDescent="0.25">
      <c r="P2243" s="220"/>
      <c r="Q2243" s="366"/>
    </row>
    <row r="2244" spans="16:17" x14ac:dyDescent="0.25">
      <c r="P2244" s="220"/>
      <c r="Q2244" s="366"/>
    </row>
    <row r="2245" spans="16:17" x14ac:dyDescent="0.25">
      <c r="P2245" s="220"/>
      <c r="Q2245" s="366"/>
    </row>
    <row r="2246" spans="16:17" x14ac:dyDescent="0.25">
      <c r="P2246" s="220"/>
      <c r="Q2246" s="366"/>
    </row>
    <row r="2247" spans="16:17" x14ac:dyDescent="0.25">
      <c r="P2247" s="220"/>
      <c r="Q2247" s="366"/>
    </row>
    <row r="2248" spans="16:17" x14ac:dyDescent="0.25">
      <c r="P2248" s="220"/>
      <c r="Q2248" s="366"/>
    </row>
    <row r="2249" spans="16:17" x14ac:dyDescent="0.25">
      <c r="P2249" s="220"/>
      <c r="Q2249" s="366"/>
    </row>
    <row r="2250" spans="16:17" x14ac:dyDescent="0.25">
      <c r="P2250" s="220"/>
      <c r="Q2250" s="366"/>
    </row>
    <row r="2251" spans="16:17" x14ac:dyDescent="0.25">
      <c r="P2251" s="220"/>
      <c r="Q2251" s="366"/>
    </row>
    <row r="2252" spans="16:17" x14ac:dyDescent="0.25">
      <c r="P2252" s="220"/>
      <c r="Q2252" s="366"/>
    </row>
    <row r="2253" spans="16:17" x14ac:dyDescent="0.25">
      <c r="P2253" s="220"/>
      <c r="Q2253" s="366"/>
    </row>
    <row r="2254" spans="16:17" x14ac:dyDescent="0.25">
      <c r="P2254" s="220"/>
      <c r="Q2254" s="366"/>
    </row>
    <row r="2255" spans="16:17" x14ac:dyDescent="0.25">
      <c r="P2255" s="220"/>
      <c r="Q2255" s="366"/>
    </row>
    <row r="2256" spans="16:17" x14ac:dyDescent="0.25">
      <c r="P2256" s="220"/>
      <c r="Q2256" s="366"/>
    </row>
    <row r="2257" spans="16:17" x14ac:dyDescent="0.25">
      <c r="P2257" s="220"/>
      <c r="Q2257" s="366"/>
    </row>
    <row r="2258" spans="16:17" x14ac:dyDescent="0.25">
      <c r="P2258" s="220"/>
      <c r="Q2258" s="366"/>
    </row>
    <row r="2259" spans="16:17" x14ac:dyDescent="0.25">
      <c r="P2259" s="220"/>
      <c r="Q2259" s="366"/>
    </row>
    <row r="2260" spans="16:17" x14ac:dyDescent="0.25">
      <c r="P2260" s="220"/>
      <c r="Q2260" s="366"/>
    </row>
    <row r="2261" spans="16:17" x14ac:dyDescent="0.25">
      <c r="P2261" s="220"/>
      <c r="Q2261" s="366"/>
    </row>
    <row r="2262" spans="16:17" x14ac:dyDescent="0.25">
      <c r="P2262" s="220"/>
      <c r="Q2262" s="366"/>
    </row>
    <row r="2263" spans="16:17" x14ac:dyDescent="0.25">
      <c r="P2263" s="220"/>
      <c r="Q2263" s="366"/>
    </row>
    <row r="2264" spans="16:17" x14ac:dyDescent="0.25">
      <c r="P2264" s="220"/>
      <c r="Q2264" s="366"/>
    </row>
    <row r="2265" spans="16:17" x14ac:dyDescent="0.25">
      <c r="P2265" s="220"/>
      <c r="Q2265" s="366"/>
    </row>
    <row r="2266" spans="16:17" x14ac:dyDescent="0.25">
      <c r="P2266" s="220"/>
      <c r="Q2266" s="366"/>
    </row>
    <row r="2267" spans="16:17" x14ac:dyDescent="0.25">
      <c r="P2267" s="220"/>
      <c r="Q2267" s="366"/>
    </row>
    <row r="2268" spans="16:17" x14ac:dyDescent="0.25">
      <c r="P2268" s="220"/>
      <c r="Q2268" s="366"/>
    </row>
    <row r="2269" spans="16:17" x14ac:dyDescent="0.25">
      <c r="P2269" s="220"/>
      <c r="Q2269" s="366"/>
    </row>
    <row r="2270" spans="16:17" x14ac:dyDescent="0.25">
      <c r="P2270" s="220"/>
      <c r="Q2270" s="366"/>
    </row>
    <row r="2271" spans="16:17" x14ac:dyDescent="0.25">
      <c r="P2271" s="220"/>
      <c r="Q2271" s="366"/>
    </row>
    <row r="2272" spans="16:17" x14ac:dyDescent="0.25">
      <c r="P2272" s="220"/>
      <c r="Q2272" s="366"/>
    </row>
    <row r="2273" spans="16:17" x14ac:dyDescent="0.25">
      <c r="P2273" s="220"/>
      <c r="Q2273" s="366"/>
    </row>
    <row r="2274" spans="16:17" x14ac:dyDescent="0.25">
      <c r="P2274" s="220"/>
      <c r="Q2274" s="366"/>
    </row>
    <row r="2275" spans="16:17" x14ac:dyDescent="0.25">
      <c r="P2275" s="220"/>
      <c r="Q2275" s="366"/>
    </row>
    <row r="2276" spans="16:17" x14ac:dyDescent="0.25">
      <c r="P2276" s="220"/>
      <c r="Q2276" s="366"/>
    </row>
    <row r="2277" spans="16:17" x14ac:dyDescent="0.25">
      <c r="P2277" s="220"/>
      <c r="Q2277" s="366"/>
    </row>
    <row r="2278" spans="16:17" x14ac:dyDescent="0.25">
      <c r="P2278" s="220"/>
      <c r="Q2278" s="366"/>
    </row>
    <row r="2279" spans="16:17" x14ac:dyDescent="0.25">
      <c r="P2279" s="220"/>
      <c r="Q2279" s="366"/>
    </row>
    <row r="2280" spans="16:17" x14ac:dyDescent="0.25">
      <c r="P2280" s="220"/>
      <c r="Q2280" s="366"/>
    </row>
    <row r="2281" spans="16:17" x14ac:dyDescent="0.25">
      <c r="P2281" s="220"/>
      <c r="Q2281" s="366"/>
    </row>
    <row r="2282" spans="16:17" x14ac:dyDescent="0.25">
      <c r="P2282" s="220"/>
      <c r="Q2282" s="366"/>
    </row>
    <row r="2283" spans="16:17" x14ac:dyDescent="0.25">
      <c r="P2283" s="220"/>
      <c r="Q2283" s="366"/>
    </row>
    <row r="2284" spans="16:17" x14ac:dyDescent="0.25">
      <c r="P2284" s="220"/>
      <c r="Q2284" s="366"/>
    </row>
    <row r="2285" spans="16:17" x14ac:dyDescent="0.25">
      <c r="P2285" s="220"/>
      <c r="Q2285" s="366"/>
    </row>
    <row r="2286" spans="16:17" x14ac:dyDescent="0.25">
      <c r="P2286" s="220"/>
      <c r="Q2286" s="366"/>
    </row>
    <row r="2287" spans="16:17" x14ac:dyDescent="0.25">
      <c r="P2287" s="220"/>
      <c r="Q2287" s="366"/>
    </row>
    <row r="2288" spans="16:17" x14ac:dyDescent="0.25">
      <c r="P2288" s="220"/>
      <c r="Q2288" s="366"/>
    </row>
    <row r="2289" spans="16:17" x14ac:dyDescent="0.25">
      <c r="P2289" s="220"/>
      <c r="Q2289" s="366"/>
    </row>
    <row r="2290" spans="16:17" x14ac:dyDescent="0.25">
      <c r="P2290" s="220"/>
      <c r="Q2290" s="366"/>
    </row>
    <row r="2291" spans="16:17" x14ac:dyDescent="0.25">
      <c r="P2291" s="220"/>
      <c r="Q2291" s="366"/>
    </row>
    <row r="2292" spans="16:17" x14ac:dyDescent="0.25">
      <c r="P2292" s="220"/>
      <c r="Q2292" s="366"/>
    </row>
    <row r="2293" spans="16:17" x14ac:dyDescent="0.25">
      <c r="P2293" s="220"/>
      <c r="Q2293" s="366"/>
    </row>
    <row r="2294" spans="16:17" x14ac:dyDescent="0.25">
      <c r="P2294" s="220"/>
      <c r="Q2294" s="366"/>
    </row>
    <row r="2295" spans="16:17" x14ac:dyDescent="0.25">
      <c r="P2295" s="220"/>
      <c r="Q2295" s="366"/>
    </row>
    <row r="2296" spans="16:17" x14ac:dyDescent="0.25">
      <c r="P2296" s="220"/>
      <c r="Q2296" s="366"/>
    </row>
    <row r="2297" spans="16:17" x14ac:dyDescent="0.25">
      <c r="P2297" s="220"/>
      <c r="Q2297" s="366"/>
    </row>
    <row r="2298" spans="16:17" x14ac:dyDescent="0.25">
      <c r="P2298" s="220"/>
      <c r="Q2298" s="366"/>
    </row>
    <row r="2299" spans="16:17" x14ac:dyDescent="0.25">
      <c r="P2299" s="220"/>
      <c r="Q2299" s="366"/>
    </row>
    <row r="2300" spans="16:17" x14ac:dyDescent="0.25">
      <c r="P2300" s="220"/>
      <c r="Q2300" s="366"/>
    </row>
    <row r="2301" spans="16:17" x14ac:dyDescent="0.25">
      <c r="P2301" s="220"/>
      <c r="Q2301" s="366"/>
    </row>
    <row r="2302" spans="16:17" x14ac:dyDescent="0.25">
      <c r="P2302" s="220"/>
      <c r="Q2302" s="366"/>
    </row>
    <row r="2303" spans="16:17" x14ac:dyDescent="0.25">
      <c r="P2303" s="220"/>
      <c r="Q2303" s="366"/>
    </row>
    <row r="2304" spans="16:17" x14ac:dyDescent="0.25">
      <c r="P2304" s="220"/>
      <c r="Q2304" s="366"/>
    </row>
    <row r="2305" spans="16:17" x14ac:dyDescent="0.25">
      <c r="P2305" s="220"/>
      <c r="Q2305" s="366"/>
    </row>
    <row r="2306" spans="16:17" x14ac:dyDescent="0.25">
      <c r="P2306" s="220"/>
      <c r="Q2306" s="366"/>
    </row>
    <row r="2307" spans="16:17" x14ac:dyDescent="0.25">
      <c r="P2307" s="220"/>
      <c r="Q2307" s="366"/>
    </row>
    <row r="2308" spans="16:17" x14ac:dyDescent="0.25">
      <c r="P2308" s="220"/>
      <c r="Q2308" s="366"/>
    </row>
    <row r="2309" spans="16:17" x14ac:dyDescent="0.25">
      <c r="P2309" s="220"/>
      <c r="Q2309" s="366"/>
    </row>
    <row r="2310" spans="16:17" x14ac:dyDescent="0.25">
      <c r="P2310" s="220"/>
      <c r="Q2310" s="366"/>
    </row>
    <row r="2311" spans="16:17" x14ac:dyDescent="0.25">
      <c r="P2311" s="220"/>
      <c r="Q2311" s="366"/>
    </row>
    <row r="2312" spans="16:17" x14ac:dyDescent="0.25">
      <c r="P2312" s="220"/>
      <c r="Q2312" s="366"/>
    </row>
    <row r="2313" spans="16:17" x14ac:dyDescent="0.25">
      <c r="P2313" s="220"/>
      <c r="Q2313" s="366"/>
    </row>
    <row r="2314" spans="16:17" x14ac:dyDescent="0.25">
      <c r="P2314" s="220"/>
      <c r="Q2314" s="366"/>
    </row>
    <row r="2315" spans="16:17" x14ac:dyDescent="0.25">
      <c r="P2315" s="220"/>
      <c r="Q2315" s="366"/>
    </row>
    <row r="2316" spans="16:17" x14ac:dyDescent="0.25">
      <c r="P2316" s="220"/>
      <c r="Q2316" s="366"/>
    </row>
    <row r="2317" spans="16:17" x14ac:dyDescent="0.25">
      <c r="P2317" s="220"/>
      <c r="Q2317" s="366"/>
    </row>
    <row r="2318" spans="16:17" x14ac:dyDescent="0.25">
      <c r="P2318" s="220"/>
      <c r="Q2318" s="366"/>
    </row>
    <row r="2319" spans="16:17" x14ac:dyDescent="0.25">
      <c r="P2319" s="220"/>
      <c r="Q2319" s="366"/>
    </row>
    <row r="2320" spans="16:17" x14ac:dyDescent="0.25">
      <c r="P2320" s="220"/>
      <c r="Q2320" s="366"/>
    </row>
    <row r="2321" spans="16:17" x14ac:dyDescent="0.25">
      <c r="P2321" s="220"/>
      <c r="Q2321" s="366"/>
    </row>
    <row r="2322" spans="16:17" x14ac:dyDescent="0.25">
      <c r="P2322" s="220"/>
      <c r="Q2322" s="366"/>
    </row>
    <row r="2323" spans="16:17" x14ac:dyDescent="0.25">
      <c r="P2323" s="220"/>
      <c r="Q2323" s="366"/>
    </row>
    <row r="2324" spans="16:17" x14ac:dyDescent="0.25">
      <c r="P2324" s="220"/>
      <c r="Q2324" s="366"/>
    </row>
    <row r="2325" spans="16:17" x14ac:dyDescent="0.25">
      <c r="P2325" s="220"/>
      <c r="Q2325" s="366"/>
    </row>
    <row r="2326" spans="16:17" x14ac:dyDescent="0.25">
      <c r="P2326" s="220"/>
      <c r="Q2326" s="366"/>
    </row>
    <row r="2327" spans="16:17" x14ac:dyDescent="0.25">
      <c r="P2327" s="220"/>
      <c r="Q2327" s="366"/>
    </row>
    <row r="2328" spans="16:17" x14ac:dyDescent="0.25">
      <c r="P2328" s="220"/>
      <c r="Q2328" s="366"/>
    </row>
    <row r="2329" spans="16:17" x14ac:dyDescent="0.25">
      <c r="P2329" s="220"/>
      <c r="Q2329" s="366"/>
    </row>
    <row r="2330" spans="16:17" x14ac:dyDescent="0.25">
      <c r="P2330" s="220"/>
      <c r="Q2330" s="366"/>
    </row>
    <row r="2331" spans="16:17" x14ac:dyDescent="0.25">
      <c r="P2331" s="220"/>
      <c r="Q2331" s="366"/>
    </row>
    <row r="2332" spans="16:17" x14ac:dyDescent="0.25">
      <c r="P2332" s="220"/>
      <c r="Q2332" s="366"/>
    </row>
    <row r="2333" spans="16:17" x14ac:dyDescent="0.25">
      <c r="P2333" s="220"/>
      <c r="Q2333" s="366"/>
    </row>
    <row r="2334" spans="16:17" x14ac:dyDescent="0.25">
      <c r="P2334" s="220"/>
      <c r="Q2334" s="366"/>
    </row>
    <row r="2335" spans="16:17" x14ac:dyDescent="0.25">
      <c r="P2335" s="220"/>
      <c r="Q2335" s="366"/>
    </row>
    <row r="2336" spans="16:17" x14ac:dyDescent="0.25">
      <c r="P2336" s="220"/>
      <c r="Q2336" s="366"/>
    </row>
    <row r="2337" spans="16:17" x14ac:dyDescent="0.25">
      <c r="P2337" s="220"/>
      <c r="Q2337" s="366"/>
    </row>
    <row r="2338" spans="16:17" x14ac:dyDescent="0.25">
      <c r="P2338" s="220"/>
      <c r="Q2338" s="366"/>
    </row>
    <row r="2339" spans="16:17" x14ac:dyDescent="0.25">
      <c r="P2339" s="220"/>
      <c r="Q2339" s="366"/>
    </row>
    <row r="2340" spans="16:17" x14ac:dyDescent="0.25">
      <c r="P2340" s="220"/>
      <c r="Q2340" s="366"/>
    </row>
    <row r="2341" spans="16:17" x14ac:dyDescent="0.25">
      <c r="P2341" s="220"/>
      <c r="Q2341" s="366"/>
    </row>
    <row r="2342" spans="16:17" x14ac:dyDescent="0.25">
      <c r="P2342" s="220"/>
      <c r="Q2342" s="366"/>
    </row>
    <row r="2343" spans="16:17" x14ac:dyDescent="0.25">
      <c r="P2343" s="220"/>
      <c r="Q2343" s="366"/>
    </row>
    <row r="2344" spans="16:17" x14ac:dyDescent="0.25">
      <c r="P2344" s="220"/>
      <c r="Q2344" s="366"/>
    </row>
    <row r="2345" spans="16:17" x14ac:dyDescent="0.25">
      <c r="P2345" s="220"/>
      <c r="Q2345" s="366"/>
    </row>
    <row r="2346" spans="16:17" x14ac:dyDescent="0.25">
      <c r="P2346" s="220"/>
      <c r="Q2346" s="366"/>
    </row>
    <row r="2347" spans="16:17" x14ac:dyDescent="0.25">
      <c r="P2347" s="220"/>
      <c r="Q2347" s="366"/>
    </row>
    <row r="2348" spans="16:17" x14ac:dyDescent="0.25">
      <c r="P2348" s="220"/>
      <c r="Q2348" s="366"/>
    </row>
    <row r="2349" spans="16:17" x14ac:dyDescent="0.25">
      <c r="P2349" s="220"/>
      <c r="Q2349" s="366"/>
    </row>
    <row r="2350" spans="16:17" x14ac:dyDescent="0.25">
      <c r="P2350" s="220"/>
      <c r="Q2350" s="366"/>
    </row>
    <row r="2351" spans="16:17" x14ac:dyDescent="0.25">
      <c r="P2351" s="220"/>
      <c r="Q2351" s="366"/>
    </row>
    <row r="2352" spans="16:17" x14ac:dyDescent="0.25">
      <c r="P2352" s="220"/>
      <c r="Q2352" s="366"/>
    </row>
    <row r="2353" spans="16:17" x14ac:dyDescent="0.25">
      <c r="P2353" s="220"/>
      <c r="Q2353" s="366"/>
    </row>
    <row r="2354" spans="16:17" x14ac:dyDescent="0.25">
      <c r="P2354" s="220"/>
      <c r="Q2354" s="366"/>
    </row>
    <row r="2355" spans="16:17" x14ac:dyDescent="0.25">
      <c r="P2355" s="220"/>
      <c r="Q2355" s="366"/>
    </row>
    <row r="2356" spans="16:17" x14ac:dyDescent="0.25">
      <c r="P2356" s="220"/>
      <c r="Q2356" s="366"/>
    </row>
    <row r="2357" spans="16:17" x14ac:dyDescent="0.25">
      <c r="P2357" s="220"/>
      <c r="Q2357" s="366"/>
    </row>
    <row r="2358" spans="16:17" x14ac:dyDescent="0.25">
      <c r="P2358" s="220"/>
      <c r="Q2358" s="366"/>
    </row>
    <row r="2359" spans="16:17" x14ac:dyDescent="0.25">
      <c r="P2359" s="220"/>
      <c r="Q2359" s="366"/>
    </row>
    <row r="2360" spans="16:17" x14ac:dyDescent="0.25">
      <c r="P2360" s="220"/>
      <c r="Q2360" s="366"/>
    </row>
    <row r="2361" spans="16:17" x14ac:dyDescent="0.25">
      <c r="P2361" s="220"/>
      <c r="Q2361" s="366"/>
    </row>
    <row r="2362" spans="16:17" x14ac:dyDescent="0.25">
      <c r="P2362" s="220"/>
      <c r="Q2362" s="366"/>
    </row>
    <row r="2363" spans="16:17" x14ac:dyDescent="0.25">
      <c r="P2363" s="220"/>
      <c r="Q2363" s="366"/>
    </row>
    <row r="2364" spans="16:17" x14ac:dyDescent="0.25">
      <c r="P2364" s="220"/>
      <c r="Q2364" s="366"/>
    </row>
    <row r="2365" spans="16:17" x14ac:dyDescent="0.25">
      <c r="P2365" s="220"/>
      <c r="Q2365" s="366"/>
    </row>
    <row r="2366" spans="16:17" x14ac:dyDescent="0.25">
      <c r="P2366" s="220"/>
      <c r="Q2366" s="366"/>
    </row>
    <row r="2367" spans="16:17" x14ac:dyDescent="0.25">
      <c r="P2367" s="220"/>
      <c r="Q2367" s="366"/>
    </row>
    <row r="2368" spans="16:17" x14ac:dyDescent="0.25">
      <c r="P2368" s="220"/>
      <c r="Q2368" s="366"/>
    </row>
    <row r="2369" spans="16:17" x14ac:dyDescent="0.25">
      <c r="P2369" s="220"/>
      <c r="Q2369" s="366"/>
    </row>
    <row r="2370" spans="16:17" x14ac:dyDescent="0.25">
      <c r="P2370" s="220"/>
      <c r="Q2370" s="366"/>
    </row>
    <row r="2371" spans="16:17" x14ac:dyDescent="0.25">
      <c r="P2371" s="220"/>
      <c r="Q2371" s="366"/>
    </row>
    <row r="2372" spans="16:17" x14ac:dyDescent="0.25">
      <c r="P2372" s="220"/>
      <c r="Q2372" s="366"/>
    </row>
    <row r="2373" spans="16:17" x14ac:dyDescent="0.25">
      <c r="P2373" s="220"/>
      <c r="Q2373" s="366"/>
    </row>
    <row r="2374" spans="16:17" x14ac:dyDescent="0.25">
      <c r="P2374" s="220"/>
      <c r="Q2374" s="366"/>
    </row>
    <row r="2375" spans="16:17" x14ac:dyDescent="0.25">
      <c r="P2375" s="220"/>
      <c r="Q2375" s="366"/>
    </row>
    <row r="2376" spans="16:17" x14ac:dyDescent="0.25">
      <c r="P2376" s="220"/>
      <c r="Q2376" s="366"/>
    </row>
    <row r="2377" spans="16:17" x14ac:dyDescent="0.25">
      <c r="P2377" s="220"/>
      <c r="Q2377" s="366"/>
    </row>
    <row r="2378" spans="16:17" x14ac:dyDescent="0.25">
      <c r="P2378" s="220"/>
      <c r="Q2378" s="366"/>
    </row>
    <row r="2379" spans="16:17" x14ac:dyDescent="0.25">
      <c r="P2379" s="220"/>
      <c r="Q2379" s="366"/>
    </row>
    <row r="2380" spans="16:17" x14ac:dyDescent="0.25">
      <c r="P2380" s="220"/>
      <c r="Q2380" s="366"/>
    </row>
    <row r="2381" spans="16:17" x14ac:dyDescent="0.25">
      <c r="P2381" s="220"/>
      <c r="Q2381" s="366"/>
    </row>
    <row r="2382" spans="16:17" x14ac:dyDescent="0.25">
      <c r="P2382" s="220"/>
      <c r="Q2382" s="366"/>
    </row>
    <row r="2383" spans="16:17" x14ac:dyDescent="0.25">
      <c r="P2383" s="220"/>
      <c r="Q2383" s="366"/>
    </row>
    <row r="2384" spans="16:17" x14ac:dyDescent="0.25">
      <c r="P2384" s="220"/>
      <c r="Q2384" s="366"/>
    </row>
    <row r="2385" spans="16:17" x14ac:dyDescent="0.25">
      <c r="P2385" s="220"/>
      <c r="Q2385" s="366"/>
    </row>
    <row r="2386" spans="16:17" x14ac:dyDescent="0.25">
      <c r="P2386" s="220"/>
      <c r="Q2386" s="366"/>
    </row>
    <row r="2387" spans="16:17" x14ac:dyDescent="0.25">
      <c r="P2387" s="220"/>
      <c r="Q2387" s="366"/>
    </row>
    <row r="2388" spans="16:17" x14ac:dyDescent="0.25">
      <c r="P2388" s="220"/>
      <c r="Q2388" s="366"/>
    </row>
    <row r="2389" spans="16:17" x14ac:dyDescent="0.25">
      <c r="P2389" s="220"/>
      <c r="Q2389" s="366"/>
    </row>
    <row r="2390" spans="16:17" x14ac:dyDescent="0.25">
      <c r="P2390" s="220"/>
      <c r="Q2390" s="366"/>
    </row>
    <row r="2391" spans="16:17" x14ac:dyDescent="0.25">
      <c r="P2391" s="220"/>
      <c r="Q2391" s="366"/>
    </row>
    <row r="2392" spans="16:17" x14ac:dyDescent="0.25">
      <c r="P2392" s="220"/>
      <c r="Q2392" s="366"/>
    </row>
    <row r="2393" spans="16:17" x14ac:dyDescent="0.25">
      <c r="P2393" s="220"/>
      <c r="Q2393" s="366"/>
    </row>
    <row r="2394" spans="16:17" x14ac:dyDescent="0.25">
      <c r="P2394" s="220"/>
      <c r="Q2394" s="366"/>
    </row>
    <row r="2395" spans="16:17" x14ac:dyDescent="0.25">
      <c r="P2395" s="220"/>
      <c r="Q2395" s="366"/>
    </row>
    <row r="2396" spans="16:17" x14ac:dyDescent="0.25">
      <c r="P2396" s="220"/>
      <c r="Q2396" s="366"/>
    </row>
    <row r="2397" spans="16:17" x14ac:dyDescent="0.25">
      <c r="P2397" s="220"/>
      <c r="Q2397" s="366"/>
    </row>
    <row r="2398" spans="16:17" x14ac:dyDescent="0.25">
      <c r="P2398" s="220"/>
      <c r="Q2398" s="366"/>
    </row>
    <row r="2399" spans="16:17" x14ac:dyDescent="0.25">
      <c r="P2399" s="220"/>
      <c r="Q2399" s="366"/>
    </row>
    <row r="2400" spans="16:17" x14ac:dyDescent="0.25">
      <c r="P2400" s="220"/>
      <c r="Q2400" s="366"/>
    </row>
    <row r="2401" spans="16:17" x14ac:dyDescent="0.25">
      <c r="P2401" s="220"/>
      <c r="Q2401" s="366"/>
    </row>
    <row r="2402" spans="16:17" x14ac:dyDescent="0.25">
      <c r="P2402" s="220"/>
      <c r="Q2402" s="366"/>
    </row>
    <row r="2403" spans="16:17" x14ac:dyDescent="0.25">
      <c r="P2403" s="220"/>
      <c r="Q2403" s="366"/>
    </row>
    <row r="2404" spans="16:17" x14ac:dyDescent="0.25">
      <c r="P2404" s="220"/>
      <c r="Q2404" s="366"/>
    </row>
    <row r="2405" spans="16:17" x14ac:dyDescent="0.25">
      <c r="P2405" s="220"/>
      <c r="Q2405" s="366"/>
    </row>
    <row r="2406" spans="16:17" x14ac:dyDescent="0.25">
      <c r="P2406" s="220"/>
      <c r="Q2406" s="366"/>
    </row>
    <row r="2407" spans="16:17" x14ac:dyDescent="0.25">
      <c r="P2407" s="220"/>
      <c r="Q2407" s="366"/>
    </row>
    <row r="2408" spans="16:17" x14ac:dyDescent="0.25">
      <c r="P2408" s="220"/>
      <c r="Q2408" s="366"/>
    </row>
    <row r="2409" spans="16:17" x14ac:dyDescent="0.25">
      <c r="P2409" s="220"/>
      <c r="Q2409" s="366"/>
    </row>
    <row r="2410" spans="16:17" x14ac:dyDescent="0.25">
      <c r="P2410" s="220"/>
      <c r="Q2410" s="366"/>
    </row>
    <row r="2411" spans="16:17" x14ac:dyDescent="0.25">
      <c r="P2411" s="220"/>
      <c r="Q2411" s="366"/>
    </row>
    <row r="2412" spans="16:17" x14ac:dyDescent="0.25">
      <c r="P2412" s="220"/>
      <c r="Q2412" s="366"/>
    </row>
    <row r="2413" spans="16:17" x14ac:dyDescent="0.25">
      <c r="P2413" s="220"/>
      <c r="Q2413" s="366"/>
    </row>
    <row r="2414" spans="16:17" x14ac:dyDescent="0.25">
      <c r="P2414" s="220"/>
      <c r="Q2414" s="366"/>
    </row>
    <row r="2415" spans="16:17" x14ac:dyDescent="0.25">
      <c r="P2415" s="220"/>
      <c r="Q2415" s="366"/>
    </row>
    <row r="2416" spans="16:17" x14ac:dyDescent="0.25">
      <c r="P2416" s="220"/>
      <c r="Q2416" s="366"/>
    </row>
    <row r="2417" spans="16:17" x14ac:dyDescent="0.25">
      <c r="P2417" s="220"/>
      <c r="Q2417" s="366"/>
    </row>
    <row r="2418" spans="16:17" x14ac:dyDescent="0.25">
      <c r="P2418" s="220"/>
      <c r="Q2418" s="366"/>
    </row>
    <row r="2419" spans="16:17" x14ac:dyDescent="0.25">
      <c r="P2419" s="220"/>
      <c r="Q2419" s="366"/>
    </row>
    <row r="2420" spans="16:17" x14ac:dyDescent="0.25">
      <c r="P2420" s="220"/>
      <c r="Q2420" s="366"/>
    </row>
    <row r="2421" spans="16:17" x14ac:dyDescent="0.25">
      <c r="P2421" s="220"/>
      <c r="Q2421" s="366"/>
    </row>
    <row r="2422" spans="16:17" x14ac:dyDescent="0.25">
      <c r="P2422" s="220"/>
      <c r="Q2422" s="366"/>
    </row>
    <row r="2423" spans="16:17" x14ac:dyDescent="0.25">
      <c r="P2423" s="220"/>
      <c r="Q2423" s="366"/>
    </row>
    <row r="2424" spans="16:17" x14ac:dyDescent="0.25">
      <c r="P2424" s="220"/>
      <c r="Q2424" s="366"/>
    </row>
    <row r="2425" spans="16:17" x14ac:dyDescent="0.25">
      <c r="P2425" s="220"/>
      <c r="Q2425" s="366"/>
    </row>
    <row r="2426" spans="16:17" x14ac:dyDescent="0.25">
      <c r="P2426" s="220"/>
      <c r="Q2426" s="366"/>
    </row>
    <row r="2427" spans="16:17" x14ac:dyDescent="0.25">
      <c r="P2427" s="220"/>
      <c r="Q2427" s="366"/>
    </row>
    <row r="2428" spans="16:17" x14ac:dyDescent="0.25">
      <c r="P2428" s="220"/>
      <c r="Q2428" s="366"/>
    </row>
    <row r="2429" spans="16:17" x14ac:dyDescent="0.25">
      <c r="P2429" s="220"/>
      <c r="Q2429" s="366"/>
    </row>
    <row r="2430" spans="16:17" x14ac:dyDescent="0.25">
      <c r="P2430" s="220"/>
      <c r="Q2430" s="366"/>
    </row>
    <row r="2431" spans="16:17" x14ac:dyDescent="0.25">
      <c r="P2431" s="220"/>
      <c r="Q2431" s="366"/>
    </row>
    <row r="2432" spans="16:17" x14ac:dyDescent="0.25">
      <c r="P2432" s="220"/>
      <c r="Q2432" s="366"/>
    </row>
    <row r="2433" spans="16:17" x14ac:dyDescent="0.25">
      <c r="P2433" s="220"/>
      <c r="Q2433" s="366"/>
    </row>
    <row r="2434" spans="16:17" x14ac:dyDescent="0.25">
      <c r="P2434" s="220"/>
      <c r="Q2434" s="366"/>
    </row>
    <row r="2435" spans="16:17" x14ac:dyDescent="0.25">
      <c r="P2435" s="220"/>
      <c r="Q2435" s="366"/>
    </row>
    <row r="2436" spans="16:17" x14ac:dyDescent="0.25">
      <c r="P2436" s="220"/>
      <c r="Q2436" s="366"/>
    </row>
    <row r="2437" spans="16:17" x14ac:dyDescent="0.25">
      <c r="P2437" s="220"/>
      <c r="Q2437" s="366"/>
    </row>
    <row r="2438" spans="16:17" x14ac:dyDescent="0.25">
      <c r="P2438" s="220"/>
      <c r="Q2438" s="366"/>
    </row>
    <row r="2439" spans="16:17" x14ac:dyDescent="0.25">
      <c r="P2439" s="220"/>
      <c r="Q2439" s="366"/>
    </row>
    <row r="2440" spans="16:17" x14ac:dyDescent="0.25">
      <c r="P2440" s="220"/>
      <c r="Q2440" s="366"/>
    </row>
    <row r="2441" spans="16:17" x14ac:dyDescent="0.25">
      <c r="P2441" s="220"/>
      <c r="Q2441" s="366"/>
    </row>
    <row r="2442" spans="16:17" x14ac:dyDescent="0.25">
      <c r="P2442" s="220"/>
      <c r="Q2442" s="366"/>
    </row>
    <row r="2443" spans="16:17" x14ac:dyDescent="0.25">
      <c r="P2443" s="220"/>
      <c r="Q2443" s="366"/>
    </row>
    <row r="2444" spans="16:17" x14ac:dyDescent="0.25">
      <c r="P2444" s="220"/>
      <c r="Q2444" s="366"/>
    </row>
    <row r="2445" spans="16:17" x14ac:dyDescent="0.25">
      <c r="P2445" s="220"/>
      <c r="Q2445" s="366"/>
    </row>
    <row r="2446" spans="16:17" x14ac:dyDescent="0.25">
      <c r="P2446" s="220"/>
      <c r="Q2446" s="366"/>
    </row>
    <row r="2447" spans="16:17" x14ac:dyDescent="0.25">
      <c r="P2447" s="220"/>
      <c r="Q2447" s="366"/>
    </row>
    <row r="2448" spans="16:17" x14ac:dyDescent="0.25">
      <c r="P2448" s="220"/>
      <c r="Q2448" s="366"/>
    </row>
    <row r="2449" spans="16:17" x14ac:dyDescent="0.25">
      <c r="P2449" s="220"/>
      <c r="Q2449" s="366"/>
    </row>
    <row r="2450" spans="16:17" x14ac:dyDescent="0.25">
      <c r="P2450" s="220"/>
      <c r="Q2450" s="366"/>
    </row>
    <row r="2451" spans="16:17" x14ac:dyDescent="0.25">
      <c r="P2451" s="220"/>
      <c r="Q2451" s="366"/>
    </row>
    <row r="2452" spans="16:17" x14ac:dyDescent="0.25">
      <c r="P2452" s="220"/>
      <c r="Q2452" s="366"/>
    </row>
    <row r="2453" spans="16:17" x14ac:dyDescent="0.25">
      <c r="P2453" s="220"/>
      <c r="Q2453" s="366"/>
    </row>
    <row r="2454" spans="16:17" x14ac:dyDescent="0.25">
      <c r="P2454" s="220"/>
      <c r="Q2454" s="366"/>
    </row>
    <row r="2455" spans="16:17" x14ac:dyDescent="0.25">
      <c r="P2455" s="220"/>
      <c r="Q2455" s="366"/>
    </row>
    <row r="2456" spans="16:17" x14ac:dyDescent="0.25">
      <c r="P2456" s="220"/>
      <c r="Q2456" s="366"/>
    </row>
    <row r="2457" spans="16:17" x14ac:dyDescent="0.25">
      <c r="P2457" s="220"/>
      <c r="Q2457" s="366"/>
    </row>
    <row r="2458" spans="16:17" x14ac:dyDescent="0.25">
      <c r="P2458" s="220"/>
      <c r="Q2458" s="366"/>
    </row>
    <row r="2459" spans="16:17" x14ac:dyDescent="0.25">
      <c r="P2459" s="220"/>
      <c r="Q2459" s="366"/>
    </row>
    <row r="2460" spans="16:17" x14ac:dyDescent="0.25">
      <c r="P2460" s="220"/>
      <c r="Q2460" s="366"/>
    </row>
    <row r="2461" spans="16:17" x14ac:dyDescent="0.25">
      <c r="P2461" s="220"/>
      <c r="Q2461" s="366"/>
    </row>
    <row r="2462" spans="16:17" x14ac:dyDescent="0.25">
      <c r="P2462" s="220"/>
      <c r="Q2462" s="366"/>
    </row>
    <row r="2463" spans="16:17" x14ac:dyDescent="0.25">
      <c r="P2463" s="220"/>
      <c r="Q2463" s="366"/>
    </row>
    <row r="2464" spans="16:17" x14ac:dyDescent="0.25">
      <c r="P2464" s="220"/>
      <c r="Q2464" s="366"/>
    </row>
    <row r="2465" spans="16:17" x14ac:dyDescent="0.25">
      <c r="P2465" s="220"/>
      <c r="Q2465" s="366"/>
    </row>
    <row r="2466" spans="16:17" x14ac:dyDescent="0.25">
      <c r="P2466" s="220"/>
      <c r="Q2466" s="366"/>
    </row>
    <row r="2467" spans="16:17" x14ac:dyDescent="0.25">
      <c r="P2467" s="220"/>
      <c r="Q2467" s="366"/>
    </row>
    <row r="2468" spans="16:17" x14ac:dyDescent="0.25">
      <c r="P2468" s="220"/>
      <c r="Q2468" s="366"/>
    </row>
    <row r="2469" spans="16:17" x14ac:dyDescent="0.25">
      <c r="P2469" s="220"/>
      <c r="Q2469" s="366"/>
    </row>
    <row r="2470" spans="16:17" x14ac:dyDescent="0.25">
      <c r="P2470" s="220"/>
      <c r="Q2470" s="366"/>
    </row>
    <row r="2471" spans="16:17" x14ac:dyDescent="0.25">
      <c r="P2471" s="220"/>
      <c r="Q2471" s="366"/>
    </row>
    <row r="2472" spans="16:17" x14ac:dyDescent="0.25">
      <c r="P2472" s="220"/>
      <c r="Q2472" s="366"/>
    </row>
    <row r="2473" spans="16:17" x14ac:dyDescent="0.25">
      <c r="P2473" s="220"/>
      <c r="Q2473" s="366"/>
    </row>
    <row r="2474" spans="16:17" x14ac:dyDescent="0.25">
      <c r="P2474" s="220"/>
      <c r="Q2474" s="366"/>
    </row>
    <row r="2475" spans="16:17" x14ac:dyDescent="0.25">
      <c r="P2475" s="220"/>
      <c r="Q2475" s="366"/>
    </row>
    <row r="2476" spans="16:17" x14ac:dyDescent="0.25">
      <c r="P2476" s="220"/>
      <c r="Q2476" s="366"/>
    </row>
    <row r="2477" spans="16:17" x14ac:dyDescent="0.25">
      <c r="P2477" s="220"/>
      <c r="Q2477" s="366"/>
    </row>
    <row r="2478" spans="16:17" x14ac:dyDescent="0.25">
      <c r="P2478" s="220"/>
      <c r="Q2478" s="366"/>
    </row>
    <row r="2479" spans="16:17" x14ac:dyDescent="0.25">
      <c r="P2479" s="220"/>
      <c r="Q2479" s="366"/>
    </row>
    <row r="2480" spans="16:17" x14ac:dyDescent="0.25">
      <c r="P2480" s="220"/>
      <c r="Q2480" s="366"/>
    </row>
    <row r="2481" spans="16:17" x14ac:dyDescent="0.25">
      <c r="P2481" s="220"/>
      <c r="Q2481" s="366"/>
    </row>
    <row r="2482" spans="16:17" x14ac:dyDescent="0.25">
      <c r="P2482" s="220"/>
      <c r="Q2482" s="366"/>
    </row>
    <row r="2483" spans="16:17" x14ac:dyDescent="0.25">
      <c r="P2483" s="220"/>
      <c r="Q2483" s="366"/>
    </row>
    <row r="2484" spans="16:17" x14ac:dyDescent="0.25">
      <c r="P2484" s="220"/>
      <c r="Q2484" s="366"/>
    </row>
    <row r="2485" spans="16:17" x14ac:dyDescent="0.25">
      <c r="P2485" s="220"/>
      <c r="Q2485" s="366"/>
    </row>
    <row r="2486" spans="16:17" x14ac:dyDescent="0.25">
      <c r="P2486" s="220"/>
      <c r="Q2486" s="366"/>
    </row>
    <row r="2487" spans="16:17" x14ac:dyDescent="0.25">
      <c r="P2487" s="220"/>
      <c r="Q2487" s="366"/>
    </row>
    <row r="2488" spans="16:17" x14ac:dyDescent="0.25">
      <c r="P2488" s="220"/>
      <c r="Q2488" s="366"/>
    </row>
    <row r="2489" spans="16:17" x14ac:dyDescent="0.25">
      <c r="P2489" s="220"/>
      <c r="Q2489" s="366"/>
    </row>
    <row r="2490" spans="16:17" x14ac:dyDescent="0.25">
      <c r="P2490" s="220"/>
      <c r="Q2490" s="366"/>
    </row>
    <row r="2491" spans="16:17" x14ac:dyDescent="0.25">
      <c r="P2491" s="220"/>
      <c r="Q2491" s="366"/>
    </row>
    <row r="2492" spans="16:17" x14ac:dyDescent="0.25">
      <c r="P2492" s="220"/>
      <c r="Q2492" s="366"/>
    </row>
    <row r="2493" spans="16:17" x14ac:dyDescent="0.25">
      <c r="P2493" s="220"/>
      <c r="Q2493" s="366"/>
    </row>
    <row r="2494" spans="16:17" x14ac:dyDescent="0.25">
      <c r="P2494" s="220"/>
      <c r="Q2494" s="366"/>
    </row>
    <row r="2495" spans="16:17" x14ac:dyDescent="0.25">
      <c r="P2495" s="220"/>
      <c r="Q2495" s="366"/>
    </row>
    <row r="2496" spans="16:17" x14ac:dyDescent="0.25">
      <c r="P2496" s="220"/>
      <c r="Q2496" s="366"/>
    </row>
    <row r="2497" spans="16:17" x14ac:dyDescent="0.25">
      <c r="P2497" s="220"/>
      <c r="Q2497" s="366"/>
    </row>
    <row r="2498" spans="16:17" x14ac:dyDescent="0.25">
      <c r="P2498" s="220"/>
      <c r="Q2498" s="366"/>
    </row>
    <row r="2499" spans="16:17" x14ac:dyDescent="0.25">
      <c r="P2499" s="220"/>
      <c r="Q2499" s="366"/>
    </row>
    <row r="2500" spans="16:17" x14ac:dyDescent="0.25">
      <c r="P2500" s="220"/>
      <c r="Q2500" s="366"/>
    </row>
    <row r="2501" spans="16:17" x14ac:dyDescent="0.25">
      <c r="P2501" s="220"/>
      <c r="Q2501" s="366"/>
    </row>
    <row r="2502" spans="16:17" x14ac:dyDescent="0.25">
      <c r="P2502" s="220"/>
      <c r="Q2502" s="366"/>
    </row>
    <row r="2503" spans="16:17" x14ac:dyDescent="0.25">
      <c r="P2503" s="220"/>
      <c r="Q2503" s="366"/>
    </row>
    <row r="2504" spans="16:17" x14ac:dyDescent="0.25">
      <c r="P2504" s="220"/>
      <c r="Q2504" s="366"/>
    </row>
    <row r="2505" spans="16:17" x14ac:dyDescent="0.25">
      <c r="P2505" s="220"/>
      <c r="Q2505" s="366"/>
    </row>
    <row r="2506" spans="16:17" x14ac:dyDescent="0.25">
      <c r="P2506" s="220"/>
      <c r="Q2506" s="366"/>
    </row>
    <row r="2507" spans="16:17" x14ac:dyDescent="0.25">
      <c r="P2507" s="220"/>
      <c r="Q2507" s="366"/>
    </row>
    <row r="2508" spans="16:17" x14ac:dyDescent="0.25">
      <c r="P2508" s="220"/>
      <c r="Q2508" s="366"/>
    </row>
    <row r="2509" spans="16:17" x14ac:dyDescent="0.25">
      <c r="P2509" s="220"/>
      <c r="Q2509" s="366"/>
    </row>
    <row r="2510" spans="16:17" x14ac:dyDescent="0.25">
      <c r="P2510" s="220"/>
      <c r="Q2510" s="366"/>
    </row>
    <row r="2511" spans="16:17" x14ac:dyDescent="0.25">
      <c r="P2511" s="220"/>
      <c r="Q2511" s="366"/>
    </row>
    <row r="2512" spans="16:17" x14ac:dyDescent="0.25">
      <c r="P2512" s="220"/>
      <c r="Q2512" s="366"/>
    </row>
    <row r="2513" spans="16:17" x14ac:dyDescent="0.25">
      <c r="P2513" s="220"/>
      <c r="Q2513" s="366"/>
    </row>
    <row r="2514" spans="16:17" x14ac:dyDescent="0.25">
      <c r="P2514" s="220"/>
      <c r="Q2514" s="366"/>
    </row>
    <row r="2515" spans="16:17" x14ac:dyDescent="0.25">
      <c r="P2515" s="220"/>
      <c r="Q2515" s="366"/>
    </row>
    <row r="2516" spans="16:17" x14ac:dyDescent="0.25">
      <c r="P2516" s="220"/>
      <c r="Q2516" s="366"/>
    </row>
    <row r="2517" spans="16:17" x14ac:dyDescent="0.25">
      <c r="P2517" s="220"/>
      <c r="Q2517" s="366"/>
    </row>
    <row r="2518" spans="16:17" x14ac:dyDescent="0.25">
      <c r="P2518" s="220"/>
      <c r="Q2518" s="366"/>
    </row>
    <row r="2519" spans="16:17" x14ac:dyDescent="0.25">
      <c r="P2519" s="220"/>
      <c r="Q2519" s="366"/>
    </row>
    <row r="2520" spans="16:17" x14ac:dyDescent="0.25">
      <c r="P2520" s="220"/>
      <c r="Q2520" s="366"/>
    </row>
    <row r="2521" spans="16:17" x14ac:dyDescent="0.25">
      <c r="P2521" s="220"/>
      <c r="Q2521" s="366"/>
    </row>
    <row r="2522" spans="16:17" x14ac:dyDescent="0.25">
      <c r="P2522" s="220"/>
      <c r="Q2522" s="366"/>
    </row>
    <row r="2523" spans="16:17" x14ac:dyDescent="0.25">
      <c r="P2523" s="220"/>
      <c r="Q2523" s="366"/>
    </row>
    <row r="2524" spans="16:17" x14ac:dyDescent="0.25">
      <c r="P2524" s="220"/>
      <c r="Q2524" s="366"/>
    </row>
    <row r="2525" spans="16:17" x14ac:dyDescent="0.25">
      <c r="P2525" s="220"/>
      <c r="Q2525" s="366"/>
    </row>
    <row r="2526" spans="16:17" x14ac:dyDescent="0.25">
      <c r="P2526" s="220"/>
      <c r="Q2526" s="366"/>
    </row>
    <row r="2527" spans="16:17" x14ac:dyDescent="0.25">
      <c r="P2527" s="220"/>
      <c r="Q2527" s="366"/>
    </row>
    <row r="2528" spans="16:17" x14ac:dyDescent="0.25">
      <c r="P2528" s="220"/>
      <c r="Q2528" s="366"/>
    </row>
    <row r="2529" spans="16:17" x14ac:dyDescent="0.25">
      <c r="P2529" s="220"/>
      <c r="Q2529" s="366"/>
    </row>
    <row r="2530" spans="16:17" x14ac:dyDescent="0.25">
      <c r="P2530" s="220"/>
      <c r="Q2530" s="366"/>
    </row>
    <row r="2531" spans="16:17" x14ac:dyDescent="0.25">
      <c r="P2531" s="220"/>
      <c r="Q2531" s="366"/>
    </row>
    <row r="2532" spans="16:17" x14ac:dyDescent="0.25">
      <c r="P2532" s="220"/>
      <c r="Q2532" s="366"/>
    </row>
    <row r="2533" spans="16:17" x14ac:dyDescent="0.25">
      <c r="P2533" s="220"/>
      <c r="Q2533" s="366"/>
    </row>
    <row r="2534" spans="16:17" x14ac:dyDescent="0.25">
      <c r="P2534" s="220"/>
      <c r="Q2534" s="366"/>
    </row>
    <row r="2535" spans="16:17" x14ac:dyDescent="0.25">
      <c r="P2535" s="220"/>
      <c r="Q2535" s="366"/>
    </row>
    <row r="2536" spans="16:17" x14ac:dyDescent="0.25">
      <c r="P2536" s="220"/>
      <c r="Q2536" s="366"/>
    </row>
    <row r="2537" spans="16:17" x14ac:dyDescent="0.25">
      <c r="P2537" s="220"/>
      <c r="Q2537" s="366"/>
    </row>
    <row r="2538" spans="16:17" x14ac:dyDescent="0.25">
      <c r="P2538" s="220"/>
      <c r="Q2538" s="366"/>
    </row>
    <row r="2539" spans="16:17" x14ac:dyDescent="0.25">
      <c r="P2539" s="220"/>
      <c r="Q2539" s="366"/>
    </row>
    <row r="2540" spans="16:17" x14ac:dyDescent="0.25">
      <c r="P2540" s="220"/>
      <c r="Q2540" s="366"/>
    </row>
    <row r="2541" spans="16:17" x14ac:dyDescent="0.25">
      <c r="P2541" s="220"/>
      <c r="Q2541" s="366"/>
    </row>
    <row r="2542" spans="16:17" x14ac:dyDescent="0.25">
      <c r="P2542" s="220"/>
      <c r="Q2542" s="366"/>
    </row>
    <row r="2543" spans="16:17" x14ac:dyDescent="0.25">
      <c r="P2543" s="220"/>
      <c r="Q2543" s="366"/>
    </row>
    <row r="2544" spans="16:17" x14ac:dyDescent="0.25">
      <c r="P2544" s="220"/>
      <c r="Q2544" s="366"/>
    </row>
    <row r="2545" spans="16:17" x14ac:dyDescent="0.25">
      <c r="P2545" s="220"/>
      <c r="Q2545" s="366"/>
    </row>
    <row r="2546" spans="16:17" x14ac:dyDescent="0.25">
      <c r="P2546" s="220"/>
      <c r="Q2546" s="366"/>
    </row>
    <row r="2547" spans="16:17" x14ac:dyDescent="0.25">
      <c r="P2547" s="220"/>
      <c r="Q2547" s="366"/>
    </row>
    <row r="2548" spans="16:17" x14ac:dyDescent="0.25">
      <c r="P2548" s="220"/>
      <c r="Q2548" s="366"/>
    </row>
    <row r="2549" spans="16:17" x14ac:dyDescent="0.25">
      <c r="P2549" s="220"/>
      <c r="Q2549" s="366"/>
    </row>
    <row r="2550" spans="16:17" x14ac:dyDescent="0.25">
      <c r="P2550" s="220"/>
      <c r="Q2550" s="366"/>
    </row>
    <row r="2551" spans="16:17" x14ac:dyDescent="0.25">
      <c r="P2551" s="220"/>
      <c r="Q2551" s="366"/>
    </row>
    <row r="2552" spans="16:17" x14ac:dyDescent="0.25">
      <c r="P2552" s="220"/>
      <c r="Q2552" s="366"/>
    </row>
    <row r="2553" spans="16:17" x14ac:dyDescent="0.25">
      <c r="P2553" s="220"/>
      <c r="Q2553" s="366"/>
    </row>
    <row r="2554" spans="16:17" x14ac:dyDescent="0.25">
      <c r="P2554" s="220"/>
      <c r="Q2554" s="366"/>
    </row>
    <row r="2555" spans="16:17" x14ac:dyDescent="0.25">
      <c r="P2555" s="220"/>
      <c r="Q2555" s="366"/>
    </row>
    <row r="2556" spans="16:17" x14ac:dyDescent="0.25">
      <c r="P2556" s="220"/>
      <c r="Q2556" s="366"/>
    </row>
    <row r="2557" spans="16:17" x14ac:dyDescent="0.25">
      <c r="P2557" s="220"/>
      <c r="Q2557" s="366"/>
    </row>
    <row r="2558" spans="16:17" x14ac:dyDescent="0.25">
      <c r="P2558" s="220"/>
      <c r="Q2558" s="366"/>
    </row>
    <row r="2559" spans="16:17" x14ac:dyDescent="0.25">
      <c r="P2559" s="220"/>
      <c r="Q2559" s="366"/>
    </row>
    <row r="2560" spans="16:17" x14ac:dyDescent="0.25">
      <c r="P2560" s="220"/>
      <c r="Q2560" s="366"/>
    </row>
    <row r="2561" spans="16:17" x14ac:dyDescent="0.25">
      <c r="P2561" s="220"/>
      <c r="Q2561" s="366"/>
    </row>
    <row r="2562" spans="16:17" x14ac:dyDescent="0.25">
      <c r="P2562" s="220"/>
      <c r="Q2562" s="366"/>
    </row>
    <row r="2563" spans="16:17" x14ac:dyDescent="0.25">
      <c r="P2563" s="220"/>
      <c r="Q2563" s="366"/>
    </row>
    <row r="2564" spans="16:17" x14ac:dyDescent="0.25">
      <c r="P2564" s="220"/>
      <c r="Q2564" s="366"/>
    </row>
    <row r="2565" spans="16:17" x14ac:dyDescent="0.25">
      <c r="P2565" s="220"/>
      <c r="Q2565" s="366"/>
    </row>
    <row r="2566" spans="16:17" x14ac:dyDescent="0.25">
      <c r="P2566" s="220"/>
      <c r="Q2566" s="366"/>
    </row>
    <row r="2567" spans="16:17" x14ac:dyDescent="0.25">
      <c r="P2567" s="220"/>
      <c r="Q2567" s="366"/>
    </row>
    <row r="2568" spans="16:17" x14ac:dyDescent="0.25">
      <c r="P2568" s="220"/>
      <c r="Q2568" s="366"/>
    </row>
    <row r="2569" spans="16:17" x14ac:dyDescent="0.25">
      <c r="P2569" s="220"/>
      <c r="Q2569" s="366"/>
    </row>
    <row r="2570" spans="16:17" x14ac:dyDescent="0.25">
      <c r="P2570" s="220"/>
      <c r="Q2570" s="366"/>
    </row>
    <row r="2571" spans="16:17" x14ac:dyDescent="0.25">
      <c r="P2571" s="220"/>
      <c r="Q2571" s="366"/>
    </row>
    <row r="2572" spans="16:17" x14ac:dyDescent="0.25">
      <c r="P2572" s="220"/>
      <c r="Q2572" s="366"/>
    </row>
    <row r="2573" spans="16:17" x14ac:dyDescent="0.25">
      <c r="P2573" s="220"/>
      <c r="Q2573" s="366"/>
    </row>
    <row r="2574" spans="16:17" x14ac:dyDescent="0.25">
      <c r="P2574" s="220"/>
      <c r="Q2574" s="366"/>
    </row>
    <row r="2575" spans="16:17" x14ac:dyDescent="0.25">
      <c r="P2575" s="220"/>
      <c r="Q2575" s="366"/>
    </row>
    <row r="2576" spans="16:17" x14ac:dyDescent="0.25">
      <c r="P2576" s="220"/>
      <c r="Q2576" s="366"/>
    </row>
    <row r="2577" spans="16:17" x14ac:dyDescent="0.25">
      <c r="P2577" s="220"/>
      <c r="Q2577" s="366"/>
    </row>
    <row r="2578" spans="16:17" x14ac:dyDescent="0.25">
      <c r="P2578" s="220"/>
      <c r="Q2578" s="366"/>
    </row>
    <row r="2579" spans="16:17" x14ac:dyDescent="0.25">
      <c r="P2579" s="220"/>
      <c r="Q2579" s="366"/>
    </row>
    <row r="2580" spans="16:17" x14ac:dyDescent="0.25">
      <c r="P2580" s="220"/>
      <c r="Q2580" s="366"/>
    </row>
    <row r="2581" spans="16:17" x14ac:dyDescent="0.25">
      <c r="P2581" s="220"/>
      <c r="Q2581" s="366"/>
    </row>
    <row r="2582" spans="16:17" x14ac:dyDescent="0.25">
      <c r="P2582" s="220"/>
      <c r="Q2582" s="366"/>
    </row>
    <row r="2583" spans="16:17" x14ac:dyDescent="0.25">
      <c r="P2583" s="220"/>
      <c r="Q2583" s="366"/>
    </row>
    <row r="2584" spans="16:17" x14ac:dyDescent="0.25">
      <c r="P2584" s="220"/>
      <c r="Q2584" s="366"/>
    </row>
    <row r="2585" spans="16:17" x14ac:dyDescent="0.25">
      <c r="P2585" s="220"/>
      <c r="Q2585" s="366"/>
    </row>
    <row r="2586" spans="16:17" x14ac:dyDescent="0.25">
      <c r="P2586" s="220"/>
      <c r="Q2586" s="366"/>
    </row>
    <row r="2587" spans="16:17" x14ac:dyDescent="0.25">
      <c r="P2587" s="220"/>
      <c r="Q2587" s="366"/>
    </row>
    <row r="2588" spans="16:17" x14ac:dyDescent="0.25">
      <c r="P2588" s="220"/>
      <c r="Q2588" s="366"/>
    </row>
    <row r="2589" spans="16:17" x14ac:dyDescent="0.25">
      <c r="P2589" s="220"/>
      <c r="Q2589" s="366"/>
    </row>
    <row r="2590" spans="16:17" x14ac:dyDescent="0.25">
      <c r="P2590" s="220"/>
      <c r="Q2590" s="366"/>
    </row>
    <row r="2591" spans="16:17" x14ac:dyDescent="0.25">
      <c r="P2591" s="220"/>
      <c r="Q2591" s="366"/>
    </row>
    <row r="2592" spans="16:17" x14ac:dyDescent="0.25">
      <c r="P2592" s="220"/>
      <c r="Q2592" s="366"/>
    </row>
    <row r="2593" spans="16:17" x14ac:dyDescent="0.25">
      <c r="P2593" s="220"/>
      <c r="Q2593" s="366"/>
    </row>
    <row r="2594" spans="16:17" x14ac:dyDescent="0.25">
      <c r="P2594" s="220"/>
      <c r="Q2594" s="366"/>
    </row>
    <row r="2595" spans="16:17" x14ac:dyDescent="0.25">
      <c r="P2595" s="220"/>
      <c r="Q2595" s="366"/>
    </row>
    <row r="2596" spans="16:17" x14ac:dyDescent="0.25">
      <c r="P2596" s="220"/>
      <c r="Q2596" s="366"/>
    </row>
    <row r="2597" spans="16:17" x14ac:dyDescent="0.25">
      <c r="P2597" s="220"/>
      <c r="Q2597" s="366"/>
    </row>
    <row r="2598" spans="16:17" x14ac:dyDescent="0.25">
      <c r="P2598" s="220"/>
      <c r="Q2598" s="366"/>
    </row>
    <row r="2599" spans="16:17" x14ac:dyDescent="0.25">
      <c r="P2599" s="220"/>
      <c r="Q2599" s="366"/>
    </row>
    <row r="2600" spans="16:17" x14ac:dyDescent="0.25">
      <c r="P2600" s="220"/>
      <c r="Q2600" s="366"/>
    </row>
    <row r="2601" spans="16:17" x14ac:dyDescent="0.25">
      <c r="P2601" s="220"/>
      <c r="Q2601" s="366"/>
    </row>
    <row r="2602" spans="16:17" x14ac:dyDescent="0.25">
      <c r="P2602" s="220"/>
      <c r="Q2602" s="366"/>
    </row>
    <row r="2603" spans="16:17" x14ac:dyDescent="0.25">
      <c r="P2603" s="220"/>
      <c r="Q2603" s="366"/>
    </row>
    <row r="2604" spans="16:17" x14ac:dyDescent="0.25">
      <c r="P2604" s="220"/>
      <c r="Q2604" s="366"/>
    </row>
    <row r="2605" spans="16:17" x14ac:dyDescent="0.25">
      <c r="P2605" s="220"/>
      <c r="Q2605" s="366"/>
    </row>
    <row r="2606" spans="16:17" x14ac:dyDescent="0.25">
      <c r="P2606" s="220"/>
      <c r="Q2606" s="366"/>
    </row>
    <row r="2607" spans="16:17" x14ac:dyDescent="0.25">
      <c r="P2607" s="220"/>
      <c r="Q2607" s="366"/>
    </row>
    <row r="2608" spans="16:17" x14ac:dyDescent="0.25">
      <c r="P2608" s="220"/>
      <c r="Q2608" s="366"/>
    </row>
    <row r="2609" spans="16:17" x14ac:dyDescent="0.25">
      <c r="P2609" s="220"/>
      <c r="Q2609" s="366"/>
    </row>
    <row r="2610" spans="16:17" x14ac:dyDescent="0.25">
      <c r="P2610" s="220"/>
      <c r="Q2610" s="366"/>
    </row>
    <row r="2611" spans="16:17" x14ac:dyDescent="0.25">
      <c r="P2611" s="220"/>
      <c r="Q2611" s="366"/>
    </row>
    <row r="2612" spans="16:17" x14ac:dyDescent="0.25">
      <c r="P2612" s="220"/>
      <c r="Q2612" s="366"/>
    </row>
    <row r="2613" spans="16:17" x14ac:dyDescent="0.25">
      <c r="P2613" s="220"/>
      <c r="Q2613" s="366"/>
    </row>
    <row r="2614" spans="16:17" x14ac:dyDescent="0.25">
      <c r="P2614" s="220"/>
      <c r="Q2614" s="366"/>
    </row>
    <row r="2615" spans="16:17" x14ac:dyDescent="0.25">
      <c r="P2615" s="220"/>
      <c r="Q2615" s="366"/>
    </row>
    <row r="2616" spans="16:17" x14ac:dyDescent="0.25">
      <c r="P2616" s="220"/>
      <c r="Q2616" s="366"/>
    </row>
    <row r="2617" spans="16:17" x14ac:dyDescent="0.25">
      <c r="P2617" s="220"/>
      <c r="Q2617" s="366"/>
    </row>
    <row r="2618" spans="16:17" x14ac:dyDescent="0.25">
      <c r="P2618" s="220"/>
      <c r="Q2618" s="366"/>
    </row>
    <row r="2619" spans="16:17" x14ac:dyDescent="0.25">
      <c r="P2619" s="220"/>
      <c r="Q2619" s="366"/>
    </row>
    <row r="2620" spans="16:17" x14ac:dyDescent="0.25">
      <c r="P2620" s="220"/>
      <c r="Q2620" s="366"/>
    </row>
    <row r="2621" spans="16:17" x14ac:dyDescent="0.25">
      <c r="P2621" s="220"/>
      <c r="Q2621" s="366"/>
    </row>
    <row r="2622" spans="16:17" x14ac:dyDescent="0.25">
      <c r="P2622" s="220"/>
      <c r="Q2622" s="366"/>
    </row>
    <row r="2623" spans="16:17" x14ac:dyDescent="0.25">
      <c r="P2623" s="220"/>
      <c r="Q2623" s="366"/>
    </row>
    <row r="2624" spans="16:17" x14ac:dyDescent="0.25">
      <c r="P2624" s="220"/>
      <c r="Q2624" s="366"/>
    </row>
    <row r="2625" spans="16:17" x14ac:dyDescent="0.25">
      <c r="P2625" s="220"/>
      <c r="Q2625" s="366"/>
    </row>
    <row r="2626" spans="16:17" x14ac:dyDescent="0.25">
      <c r="P2626" s="220"/>
      <c r="Q2626" s="366"/>
    </row>
    <row r="2627" spans="16:17" x14ac:dyDescent="0.25">
      <c r="P2627" s="220"/>
      <c r="Q2627" s="366"/>
    </row>
    <row r="2628" spans="16:17" x14ac:dyDescent="0.25">
      <c r="P2628" s="220"/>
      <c r="Q2628" s="366"/>
    </row>
    <row r="2629" spans="16:17" x14ac:dyDescent="0.25">
      <c r="P2629" s="220"/>
      <c r="Q2629" s="366"/>
    </row>
    <row r="2630" spans="16:17" x14ac:dyDescent="0.25">
      <c r="P2630" s="220"/>
      <c r="Q2630" s="366"/>
    </row>
    <row r="2631" spans="16:17" x14ac:dyDescent="0.25">
      <c r="P2631" s="220"/>
      <c r="Q2631" s="366"/>
    </row>
    <row r="2632" spans="16:17" x14ac:dyDescent="0.25">
      <c r="P2632" s="220"/>
      <c r="Q2632" s="366"/>
    </row>
    <row r="2633" spans="16:17" x14ac:dyDescent="0.25">
      <c r="P2633" s="220"/>
      <c r="Q2633" s="366"/>
    </row>
    <row r="2634" spans="16:17" x14ac:dyDescent="0.25">
      <c r="P2634" s="220"/>
      <c r="Q2634" s="366"/>
    </row>
    <row r="2635" spans="16:17" x14ac:dyDescent="0.25">
      <c r="P2635" s="220"/>
      <c r="Q2635" s="366"/>
    </row>
    <row r="2636" spans="16:17" x14ac:dyDescent="0.25">
      <c r="P2636" s="220"/>
      <c r="Q2636" s="366"/>
    </row>
    <row r="2637" spans="16:17" x14ac:dyDescent="0.25">
      <c r="P2637" s="220"/>
      <c r="Q2637" s="366"/>
    </row>
    <row r="2638" spans="16:17" x14ac:dyDescent="0.25">
      <c r="P2638" s="220"/>
      <c r="Q2638" s="366"/>
    </row>
    <row r="2639" spans="16:17" x14ac:dyDescent="0.25">
      <c r="P2639" s="220"/>
      <c r="Q2639" s="366"/>
    </row>
    <row r="2640" spans="16:17" x14ac:dyDescent="0.25">
      <c r="P2640" s="220"/>
      <c r="Q2640" s="366"/>
    </row>
    <row r="2641" spans="16:17" x14ac:dyDescent="0.25">
      <c r="P2641" s="220"/>
      <c r="Q2641" s="366"/>
    </row>
    <row r="2642" spans="16:17" x14ac:dyDescent="0.25">
      <c r="P2642" s="220"/>
      <c r="Q2642" s="366"/>
    </row>
    <row r="2643" spans="16:17" x14ac:dyDescent="0.25">
      <c r="P2643" s="220"/>
      <c r="Q2643" s="366"/>
    </row>
    <row r="2644" spans="16:17" x14ac:dyDescent="0.25">
      <c r="P2644" s="220"/>
      <c r="Q2644" s="366"/>
    </row>
    <row r="2645" spans="16:17" x14ac:dyDescent="0.25">
      <c r="P2645" s="220"/>
      <c r="Q2645" s="366"/>
    </row>
    <row r="2646" spans="16:17" x14ac:dyDescent="0.25">
      <c r="P2646" s="220"/>
      <c r="Q2646" s="366"/>
    </row>
    <row r="2647" spans="16:17" x14ac:dyDescent="0.25">
      <c r="P2647" s="220"/>
      <c r="Q2647" s="366"/>
    </row>
    <row r="2648" spans="16:17" x14ac:dyDescent="0.25">
      <c r="P2648" s="220"/>
      <c r="Q2648" s="366"/>
    </row>
    <row r="2649" spans="16:17" x14ac:dyDescent="0.25">
      <c r="P2649" s="220"/>
      <c r="Q2649" s="366"/>
    </row>
    <row r="2650" spans="16:17" x14ac:dyDescent="0.25">
      <c r="P2650" s="220"/>
      <c r="Q2650" s="366"/>
    </row>
    <row r="2651" spans="16:17" x14ac:dyDescent="0.25">
      <c r="P2651" s="220"/>
      <c r="Q2651" s="366"/>
    </row>
    <row r="2652" spans="16:17" x14ac:dyDescent="0.25">
      <c r="P2652" s="220"/>
      <c r="Q2652" s="366"/>
    </row>
    <row r="2653" spans="16:17" x14ac:dyDescent="0.25">
      <c r="P2653" s="220"/>
      <c r="Q2653" s="366"/>
    </row>
    <row r="2654" spans="16:17" x14ac:dyDescent="0.25">
      <c r="P2654" s="220"/>
      <c r="Q2654" s="366"/>
    </row>
    <row r="2655" spans="16:17" x14ac:dyDescent="0.25">
      <c r="P2655" s="220"/>
      <c r="Q2655" s="366"/>
    </row>
    <row r="2656" spans="16:17" x14ac:dyDescent="0.25">
      <c r="P2656" s="220"/>
      <c r="Q2656" s="366"/>
    </row>
    <row r="2657" spans="16:17" x14ac:dyDescent="0.25">
      <c r="P2657" s="220"/>
      <c r="Q2657" s="366"/>
    </row>
    <row r="2658" spans="16:17" x14ac:dyDescent="0.25">
      <c r="P2658" s="220"/>
      <c r="Q2658" s="366"/>
    </row>
    <row r="2659" spans="16:17" x14ac:dyDescent="0.25">
      <c r="P2659" s="220"/>
      <c r="Q2659" s="366"/>
    </row>
    <row r="2660" spans="16:17" x14ac:dyDescent="0.25">
      <c r="P2660" s="220"/>
      <c r="Q2660" s="366"/>
    </row>
    <row r="2661" spans="16:17" x14ac:dyDescent="0.25">
      <c r="P2661" s="220"/>
      <c r="Q2661" s="366"/>
    </row>
    <row r="2662" spans="16:17" x14ac:dyDescent="0.25">
      <c r="P2662" s="220"/>
      <c r="Q2662" s="366"/>
    </row>
    <row r="2663" spans="16:17" x14ac:dyDescent="0.25">
      <c r="P2663" s="220"/>
      <c r="Q2663" s="366"/>
    </row>
    <row r="2664" spans="16:17" x14ac:dyDescent="0.25">
      <c r="P2664" s="220"/>
      <c r="Q2664" s="366"/>
    </row>
    <row r="2665" spans="16:17" x14ac:dyDescent="0.25">
      <c r="P2665" s="220"/>
      <c r="Q2665" s="366"/>
    </row>
    <row r="2666" spans="16:17" x14ac:dyDescent="0.25">
      <c r="P2666" s="220"/>
      <c r="Q2666" s="366"/>
    </row>
    <row r="2667" spans="16:17" x14ac:dyDescent="0.25">
      <c r="P2667" s="220"/>
      <c r="Q2667" s="366"/>
    </row>
    <row r="2668" spans="16:17" x14ac:dyDescent="0.25">
      <c r="P2668" s="220"/>
      <c r="Q2668" s="366"/>
    </row>
    <row r="2669" spans="16:17" x14ac:dyDescent="0.25">
      <c r="P2669" s="220"/>
      <c r="Q2669" s="366"/>
    </row>
    <row r="2670" spans="16:17" x14ac:dyDescent="0.25">
      <c r="P2670" s="220"/>
      <c r="Q2670" s="366"/>
    </row>
    <row r="2671" spans="16:17" x14ac:dyDescent="0.25">
      <c r="P2671" s="220"/>
      <c r="Q2671" s="366"/>
    </row>
    <row r="2672" spans="16:17" x14ac:dyDescent="0.25">
      <c r="P2672" s="220"/>
      <c r="Q2672" s="366"/>
    </row>
    <row r="2673" spans="16:17" x14ac:dyDescent="0.25">
      <c r="P2673" s="220"/>
      <c r="Q2673" s="366"/>
    </row>
    <row r="2674" spans="16:17" x14ac:dyDescent="0.25">
      <c r="P2674" s="220"/>
      <c r="Q2674" s="366"/>
    </row>
    <row r="2675" spans="16:17" x14ac:dyDescent="0.25">
      <c r="P2675" s="220"/>
      <c r="Q2675" s="366"/>
    </row>
    <row r="2676" spans="16:17" x14ac:dyDescent="0.25">
      <c r="P2676" s="220"/>
      <c r="Q2676" s="366"/>
    </row>
    <row r="2677" spans="16:17" x14ac:dyDescent="0.25">
      <c r="P2677" s="220"/>
      <c r="Q2677" s="366"/>
    </row>
    <row r="2678" spans="16:17" x14ac:dyDescent="0.25">
      <c r="P2678" s="220"/>
      <c r="Q2678" s="366"/>
    </row>
    <row r="2679" spans="16:17" x14ac:dyDescent="0.25">
      <c r="P2679" s="220"/>
      <c r="Q2679" s="366"/>
    </row>
    <row r="2680" spans="16:17" x14ac:dyDescent="0.25">
      <c r="P2680" s="220"/>
      <c r="Q2680" s="366"/>
    </row>
    <row r="2681" spans="16:17" x14ac:dyDescent="0.25">
      <c r="P2681" s="220"/>
      <c r="Q2681" s="366"/>
    </row>
    <row r="2682" spans="16:17" x14ac:dyDescent="0.25">
      <c r="P2682" s="220"/>
      <c r="Q2682" s="366"/>
    </row>
    <row r="2683" spans="16:17" x14ac:dyDescent="0.25">
      <c r="P2683" s="220"/>
      <c r="Q2683" s="366"/>
    </row>
    <row r="2684" spans="16:17" x14ac:dyDescent="0.25">
      <c r="P2684" s="220"/>
      <c r="Q2684" s="366"/>
    </row>
    <row r="2685" spans="16:17" x14ac:dyDescent="0.25">
      <c r="P2685" s="220"/>
      <c r="Q2685" s="366"/>
    </row>
    <row r="2686" spans="16:17" x14ac:dyDescent="0.25">
      <c r="P2686" s="220"/>
      <c r="Q2686" s="366"/>
    </row>
    <row r="2687" spans="16:17" x14ac:dyDescent="0.25">
      <c r="P2687" s="220"/>
      <c r="Q2687" s="366"/>
    </row>
    <row r="2688" spans="16:17" x14ac:dyDescent="0.25">
      <c r="P2688" s="220"/>
      <c r="Q2688" s="366"/>
    </row>
    <row r="2689" spans="16:17" x14ac:dyDescent="0.25">
      <c r="P2689" s="220"/>
      <c r="Q2689" s="366"/>
    </row>
    <row r="2690" spans="16:17" x14ac:dyDescent="0.25">
      <c r="P2690" s="220"/>
      <c r="Q2690" s="366"/>
    </row>
    <row r="2691" spans="16:17" x14ac:dyDescent="0.25">
      <c r="P2691" s="220"/>
      <c r="Q2691" s="366"/>
    </row>
    <row r="2692" spans="16:17" x14ac:dyDescent="0.25">
      <c r="P2692" s="220"/>
      <c r="Q2692" s="366"/>
    </row>
    <row r="2693" spans="16:17" x14ac:dyDescent="0.25">
      <c r="P2693" s="220"/>
      <c r="Q2693" s="366"/>
    </row>
    <row r="2694" spans="16:17" x14ac:dyDescent="0.25">
      <c r="P2694" s="220"/>
      <c r="Q2694" s="366"/>
    </row>
    <row r="2695" spans="16:17" x14ac:dyDescent="0.25">
      <c r="P2695" s="220"/>
      <c r="Q2695" s="366"/>
    </row>
    <row r="2696" spans="16:17" x14ac:dyDescent="0.25">
      <c r="P2696" s="220"/>
      <c r="Q2696" s="366"/>
    </row>
    <row r="2697" spans="16:17" x14ac:dyDescent="0.25">
      <c r="P2697" s="220"/>
      <c r="Q2697" s="366"/>
    </row>
    <row r="2698" spans="16:17" x14ac:dyDescent="0.25">
      <c r="P2698" s="220"/>
      <c r="Q2698" s="366"/>
    </row>
    <row r="2699" spans="16:17" x14ac:dyDescent="0.25">
      <c r="P2699" s="220"/>
      <c r="Q2699" s="366"/>
    </row>
    <row r="2700" spans="16:17" x14ac:dyDescent="0.25">
      <c r="P2700" s="220"/>
      <c r="Q2700" s="366"/>
    </row>
    <row r="2701" spans="16:17" x14ac:dyDescent="0.25">
      <c r="P2701" s="220"/>
      <c r="Q2701" s="366"/>
    </row>
    <row r="2702" spans="16:17" x14ac:dyDescent="0.25">
      <c r="P2702" s="220"/>
      <c r="Q2702" s="366"/>
    </row>
    <row r="2703" spans="16:17" x14ac:dyDescent="0.25">
      <c r="P2703" s="220"/>
      <c r="Q2703" s="366"/>
    </row>
    <row r="2704" spans="16:17" x14ac:dyDescent="0.25">
      <c r="P2704" s="220"/>
      <c r="Q2704" s="366"/>
    </row>
    <row r="2705" spans="16:17" x14ac:dyDescent="0.25">
      <c r="P2705" s="220"/>
      <c r="Q2705" s="366"/>
    </row>
    <row r="2706" spans="16:17" x14ac:dyDescent="0.25">
      <c r="P2706" s="220"/>
      <c r="Q2706" s="366"/>
    </row>
    <row r="2707" spans="16:17" x14ac:dyDescent="0.25">
      <c r="P2707" s="220"/>
      <c r="Q2707" s="366"/>
    </row>
    <row r="2708" spans="16:17" x14ac:dyDescent="0.25">
      <c r="P2708" s="220"/>
      <c r="Q2708" s="366"/>
    </row>
    <row r="2709" spans="16:17" x14ac:dyDescent="0.25">
      <c r="P2709" s="220"/>
      <c r="Q2709" s="366"/>
    </row>
    <row r="2710" spans="16:17" x14ac:dyDescent="0.25">
      <c r="P2710" s="220"/>
      <c r="Q2710" s="366"/>
    </row>
    <row r="2711" spans="16:17" x14ac:dyDescent="0.25">
      <c r="P2711" s="220"/>
      <c r="Q2711" s="366"/>
    </row>
    <row r="2712" spans="16:17" x14ac:dyDescent="0.25">
      <c r="P2712" s="220"/>
      <c r="Q2712" s="366"/>
    </row>
    <row r="2713" spans="16:17" x14ac:dyDescent="0.25">
      <c r="P2713" s="220"/>
      <c r="Q2713" s="366"/>
    </row>
    <row r="2714" spans="16:17" x14ac:dyDescent="0.25">
      <c r="P2714" s="220"/>
      <c r="Q2714" s="366"/>
    </row>
    <row r="2715" spans="16:17" x14ac:dyDescent="0.25">
      <c r="P2715" s="220"/>
      <c r="Q2715" s="366"/>
    </row>
    <row r="2716" spans="16:17" x14ac:dyDescent="0.25">
      <c r="P2716" s="220"/>
      <c r="Q2716" s="366"/>
    </row>
    <row r="2717" spans="16:17" x14ac:dyDescent="0.25">
      <c r="P2717" s="220"/>
      <c r="Q2717" s="366"/>
    </row>
    <row r="2718" spans="16:17" x14ac:dyDescent="0.25">
      <c r="P2718" s="220"/>
      <c r="Q2718" s="366"/>
    </row>
    <row r="2719" spans="16:17" x14ac:dyDescent="0.25">
      <c r="P2719" s="220"/>
      <c r="Q2719" s="366"/>
    </row>
    <row r="2720" spans="16:17" x14ac:dyDescent="0.25">
      <c r="P2720" s="220"/>
      <c r="Q2720" s="366"/>
    </row>
    <row r="2721" spans="16:17" x14ac:dyDescent="0.25">
      <c r="P2721" s="220"/>
      <c r="Q2721" s="366"/>
    </row>
    <row r="2722" spans="16:17" x14ac:dyDescent="0.25">
      <c r="P2722" s="220"/>
      <c r="Q2722" s="366"/>
    </row>
    <row r="2723" spans="16:17" x14ac:dyDescent="0.25">
      <c r="P2723" s="220"/>
      <c r="Q2723" s="366"/>
    </row>
    <row r="2724" spans="16:17" x14ac:dyDescent="0.25">
      <c r="P2724" s="220"/>
      <c r="Q2724" s="366"/>
    </row>
    <row r="2725" spans="16:17" x14ac:dyDescent="0.25">
      <c r="P2725" s="220"/>
      <c r="Q2725" s="366"/>
    </row>
    <row r="2726" spans="16:17" x14ac:dyDescent="0.25">
      <c r="P2726" s="220"/>
      <c r="Q2726" s="366"/>
    </row>
    <row r="2727" spans="16:17" x14ac:dyDescent="0.25">
      <c r="P2727" s="220"/>
      <c r="Q2727" s="366"/>
    </row>
    <row r="2728" spans="16:17" x14ac:dyDescent="0.25">
      <c r="P2728" s="220"/>
      <c r="Q2728" s="366"/>
    </row>
    <row r="2729" spans="16:17" x14ac:dyDescent="0.25">
      <c r="P2729" s="220"/>
      <c r="Q2729" s="366"/>
    </row>
    <row r="2730" spans="16:17" x14ac:dyDescent="0.25">
      <c r="P2730" s="220"/>
      <c r="Q2730" s="366"/>
    </row>
    <row r="2731" spans="16:17" x14ac:dyDescent="0.25">
      <c r="P2731" s="220"/>
      <c r="Q2731" s="366"/>
    </row>
    <row r="2732" spans="16:17" x14ac:dyDescent="0.25">
      <c r="P2732" s="220"/>
      <c r="Q2732" s="366"/>
    </row>
    <row r="2733" spans="16:17" x14ac:dyDescent="0.25">
      <c r="P2733" s="220"/>
      <c r="Q2733" s="366"/>
    </row>
    <row r="2734" spans="16:17" x14ac:dyDescent="0.25">
      <c r="P2734" s="220"/>
      <c r="Q2734" s="366"/>
    </row>
    <row r="2735" spans="16:17" x14ac:dyDescent="0.25">
      <c r="P2735" s="220"/>
      <c r="Q2735" s="366"/>
    </row>
    <row r="2736" spans="16:17" x14ac:dyDescent="0.25">
      <c r="P2736" s="220"/>
      <c r="Q2736" s="366"/>
    </row>
    <row r="2737" spans="16:17" x14ac:dyDescent="0.25">
      <c r="P2737" s="220"/>
      <c r="Q2737" s="366"/>
    </row>
    <row r="2738" spans="16:17" x14ac:dyDescent="0.25">
      <c r="P2738" s="220"/>
      <c r="Q2738" s="366"/>
    </row>
    <row r="2739" spans="16:17" x14ac:dyDescent="0.25">
      <c r="P2739" s="220"/>
      <c r="Q2739" s="366"/>
    </row>
    <row r="2740" spans="16:17" x14ac:dyDescent="0.25">
      <c r="P2740" s="220"/>
      <c r="Q2740" s="366"/>
    </row>
    <row r="2741" spans="16:17" x14ac:dyDescent="0.25">
      <c r="P2741" s="220"/>
      <c r="Q2741" s="366"/>
    </row>
    <row r="2742" spans="16:17" x14ac:dyDescent="0.25">
      <c r="P2742" s="220"/>
      <c r="Q2742" s="366"/>
    </row>
    <row r="2743" spans="16:17" x14ac:dyDescent="0.25">
      <c r="P2743" s="220"/>
      <c r="Q2743" s="366"/>
    </row>
    <row r="2744" spans="16:17" x14ac:dyDescent="0.25">
      <c r="P2744" s="220"/>
      <c r="Q2744" s="366"/>
    </row>
    <row r="2745" spans="16:17" x14ac:dyDescent="0.25">
      <c r="P2745" s="220"/>
      <c r="Q2745" s="366"/>
    </row>
    <row r="2746" spans="16:17" x14ac:dyDescent="0.25">
      <c r="P2746" s="220"/>
      <c r="Q2746" s="366"/>
    </row>
    <row r="2747" spans="16:17" x14ac:dyDescent="0.25">
      <c r="P2747" s="220"/>
      <c r="Q2747" s="366"/>
    </row>
    <row r="2748" spans="16:17" x14ac:dyDescent="0.25">
      <c r="P2748" s="220"/>
      <c r="Q2748" s="366"/>
    </row>
    <row r="2749" spans="16:17" x14ac:dyDescent="0.25">
      <c r="P2749" s="220"/>
      <c r="Q2749" s="366"/>
    </row>
    <row r="2750" spans="16:17" x14ac:dyDescent="0.25">
      <c r="P2750" s="220"/>
      <c r="Q2750" s="366"/>
    </row>
    <row r="2751" spans="16:17" x14ac:dyDescent="0.25">
      <c r="P2751" s="220"/>
      <c r="Q2751" s="366"/>
    </row>
    <row r="2752" spans="16:17" x14ac:dyDescent="0.25">
      <c r="P2752" s="220"/>
      <c r="Q2752" s="366"/>
    </row>
    <row r="2753" spans="16:17" x14ac:dyDescent="0.25">
      <c r="P2753" s="220"/>
      <c r="Q2753" s="366"/>
    </row>
    <row r="2754" spans="16:17" x14ac:dyDescent="0.25">
      <c r="P2754" s="220"/>
      <c r="Q2754" s="366"/>
    </row>
    <row r="2755" spans="16:17" x14ac:dyDescent="0.25">
      <c r="P2755" s="220"/>
      <c r="Q2755" s="366"/>
    </row>
    <row r="2756" spans="16:17" x14ac:dyDescent="0.25">
      <c r="P2756" s="220"/>
      <c r="Q2756" s="366"/>
    </row>
    <row r="2757" spans="16:17" x14ac:dyDescent="0.25">
      <c r="P2757" s="220"/>
      <c r="Q2757" s="366"/>
    </row>
    <row r="2758" spans="16:17" x14ac:dyDescent="0.25">
      <c r="P2758" s="220"/>
      <c r="Q2758" s="366"/>
    </row>
    <row r="2759" spans="16:17" x14ac:dyDescent="0.25">
      <c r="P2759" s="220"/>
      <c r="Q2759" s="366"/>
    </row>
    <row r="2760" spans="16:17" x14ac:dyDescent="0.25">
      <c r="P2760" s="220"/>
      <c r="Q2760" s="366"/>
    </row>
    <row r="2761" spans="16:17" x14ac:dyDescent="0.25">
      <c r="P2761" s="220"/>
      <c r="Q2761" s="366"/>
    </row>
    <row r="2762" spans="16:17" x14ac:dyDescent="0.25">
      <c r="P2762" s="220"/>
      <c r="Q2762" s="366"/>
    </row>
    <row r="2763" spans="16:17" x14ac:dyDescent="0.25">
      <c r="P2763" s="220"/>
      <c r="Q2763" s="366"/>
    </row>
    <row r="2764" spans="16:17" x14ac:dyDescent="0.25">
      <c r="P2764" s="220"/>
      <c r="Q2764" s="366"/>
    </row>
    <row r="2765" spans="16:17" x14ac:dyDescent="0.25">
      <c r="P2765" s="220"/>
      <c r="Q2765" s="366"/>
    </row>
    <row r="2766" spans="16:17" x14ac:dyDescent="0.25">
      <c r="P2766" s="220"/>
      <c r="Q2766" s="366"/>
    </row>
    <row r="2767" spans="16:17" x14ac:dyDescent="0.25">
      <c r="P2767" s="220"/>
      <c r="Q2767" s="366"/>
    </row>
    <row r="2768" spans="16:17" x14ac:dyDescent="0.25">
      <c r="P2768" s="220"/>
      <c r="Q2768" s="366"/>
    </row>
    <row r="2769" spans="16:17" x14ac:dyDescent="0.25">
      <c r="P2769" s="220"/>
      <c r="Q2769" s="366"/>
    </row>
    <row r="2770" spans="16:17" x14ac:dyDescent="0.25">
      <c r="P2770" s="220"/>
      <c r="Q2770" s="366"/>
    </row>
    <row r="2771" spans="16:17" x14ac:dyDescent="0.25">
      <c r="P2771" s="220"/>
      <c r="Q2771" s="366"/>
    </row>
    <row r="2772" spans="16:17" x14ac:dyDescent="0.25">
      <c r="P2772" s="220"/>
      <c r="Q2772" s="366"/>
    </row>
    <row r="2773" spans="16:17" x14ac:dyDescent="0.25">
      <c r="P2773" s="220"/>
      <c r="Q2773" s="366"/>
    </row>
    <row r="2774" spans="16:17" x14ac:dyDescent="0.25">
      <c r="P2774" s="220"/>
      <c r="Q2774" s="366"/>
    </row>
    <row r="2775" spans="16:17" x14ac:dyDescent="0.25">
      <c r="P2775" s="220"/>
      <c r="Q2775" s="366"/>
    </row>
    <row r="2776" spans="16:17" x14ac:dyDescent="0.25">
      <c r="P2776" s="220"/>
      <c r="Q2776" s="366"/>
    </row>
    <row r="2777" spans="16:17" x14ac:dyDescent="0.25">
      <c r="P2777" s="220"/>
      <c r="Q2777" s="366"/>
    </row>
    <row r="2778" spans="16:17" x14ac:dyDescent="0.25">
      <c r="P2778" s="220"/>
      <c r="Q2778" s="366"/>
    </row>
    <row r="2779" spans="16:17" x14ac:dyDescent="0.25">
      <c r="P2779" s="220"/>
      <c r="Q2779" s="366"/>
    </row>
    <row r="2780" spans="16:17" x14ac:dyDescent="0.25">
      <c r="P2780" s="220"/>
      <c r="Q2780" s="366"/>
    </row>
    <row r="2781" spans="16:17" x14ac:dyDescent="0.25">
      <c r="P2781" s="220"/>
      <c r="Q2781" s="366"/>
    </row>
    <row r="2782" spans="16:17" x14ac:dyDescent="0.25">
      <c r="P2782" s="220"/>
      <c r="Q2782" s="366"/>
    </row>
    <row r="2783" spans="16:17" x14ac:dyDescent="0.25">
      <c r="P2783" s="220"/>
      <c r="Q2783" s="366"/>
    </row>
    <row r="2784" spans="16:17" x14ac:dyDescent="0.25">
      <c r="P2784" s="220"/>
      <c r="Q2784" s="366"/>
    </row>
    <row r="2785" spans="16:17" x14ac:dyDescent="0.25">
      <c r="P2785" s="220"/>
      <c r="Q2785" s="366"/>
    </row>
    <row r="2786" spans="16:17" x14ac:dyDescent="0.25">
      <c r="P2786" s="220"/>
      <c r="Q2786" s="366"/>
    </row>
    <row r="2787" spans="16:17" x14ac:dyDescent="0.25">
      <c r="P2787" s="220"/>
      <c r="Q2787" s="366"/>
    </row>
    <row r="2788" spans="16:17" x14ac:dyDescent="0.25">
      <c r="P2788" s="220"/>
      <c r="Q2788" s="366"/>
    </row>
    <row r="2789" spans="16:17" x14ac:dyDescent="0.25">
      <c r="P2789" s="220"/>
      <c r="Q2789" s="366"/>
    </row>
    <row r="2790" spans="16:17" x14ac:dyDescent="0.25">
      <c r="P2790" s="220"/>
      <c r="Q2790" s="366"/>
    </row>
    <row r="2791" spans="16:17" x14ac:dyDescent="0.25">
      <c r="P2791" s="220"/>
      <c r="Q2791" s="366"/>
    </row>
    <row r="2792" spans="16:17" x14ac:dyDescent="0.25">
      <c r="P2792" s="220"/>
      <c r="Q2792" s="366"/>
    </row>
    <row r="2793" spans="16:17" x14ac:dyDescent="0.25">
      <c r="P2793" s="220"/>
      <c r="Q2793" s="366"/>
    </row>
    <row r="2794" spans="16:17" x14ac:dyDescent="0.25">
      <c r="P2794" s="220"/>
      <c r="Q2794" s="366"/>
    </row>
    <row r="2795" spans="16:17" x14ac:dyDescent="0.25">
      <c r="P2795" s="220"/>
      <c r="Q2795" s="366"/>
    </row>
    <row r="2796" spans="16:17" x14ac:dyDescent="0.25">
      <c r="P2796" s="220"/>
      <c r="Q2796" s="366"/>
    </row>
    <row r="2797" spans="16:17" x14ac:dyDescent="0.25">
      <c r="P2797" s="220"/>
      <c r="Q2797" s="366"/>
    </row>
    <row r="2798" spans="16:17" x14ac:dyDescent="0.25">
      <c r="P2798" s="220"/>
      <c r="Q2798" s="366"/>
    </row>
    <row r="2799" spans="16:17" x14ac:dyDescent="0.25">
      <c r="P2799" s="220"/>
      <c r="Q2799" s="366"/>
    </row>
    <row r="2800" spans="16:17" x14ac:dyDescent="0.25">
      <c r="P2800" s="220"/>
      <c r="Q2800" s="366"/>
    </row>
    <row r="2801" spans="16:17" x14ac:dyDescent="0.25">
      <c r="P2801" s="220"/>
      <c r="Q2801" s="366"/>
    </row>
    <row r="2802" spans="16:17" x14ac:dyDescent="0.25">
      <c r="P2802" s="220"/>
      <c r="Q2802" s="366"/>
    </row>
    <row r="2803" spans="16:17" x14ac:dyDescent="0.25">
      <c r="P2803" s="220"/>
      <c r="Q2803" s="366"/>
    </row>
    <row r="2804" spans="16:17" x14ac:dyDescent="0.25">
      <c r="P2804" s="220"/>
      <c r="Q2804" s="366"/>
    </row>
    <row r="2805" spans="16:17" x14ac:dyDescent="0.25">
      <c r="P2805" s="220"/>
      <c r="Q2805" s="366"/>
    </row>
    <row r="2806" spans="16:17" x14ac:dyDescent="0.25">
      <c r="P2806" s="220"/>
      <c r="Q2806" s="366"/>
    </row>
    <row r="2807" spans="16:17" x14ac:dyDescent="0.25">
      <c r="P2807" s="220"/>
      <c r="Q2807" s="366"/>
    </row>
    <row r="2808" spans="16:17" x14ac:dyDescent="0.25">
      <c r="P2808" s="220"/>
      <c r="Q2808" s="366"/>
    </row>
    <row r="2809" spans="16:17" x14ac:dyDescent="0.25">
      <c r="P2809" s="220"/>
      <c r="Q2809" s="366"/>
    </row>
    <row r="2810" spans="16:17" x14ac:dyDescent="0.25">
      <c r="P2810" s="220"/>
      <c r="Q2810" s="366"/>
    </row>
    <row r="2811" spans="16:17" x14ac:dyDescent="0.25">
      <c r="P2811" s="220"/>
      <c r="Q2811" s="366"/>
    </row>
    <row r="2812" spans="16:17" x14ac:dyDescent="0.25">
      <c r="P2812" s="220"/>
      <c r="Q2812" s="366"/>
    </row>
    <row r="2813" spans="16:17" x14ac:dyDescent="0.25">
      <c r="P2813" s="220"/>
      <c r="Q2813" s="366"/>
    </row>
    <row r="2814" spans="16:17" x14ac:dyDescent="0.25">
      <c r="P2814" s="220"/>
      <c r="Q2814" s="366"/>
    </row>
    <row r="2815" spans="16:17" x14ac:dyDescent="0.25">
      <c r="P2815" s="220"/>
      <c r="Q2815" s="366"/>
    </row>
    <row r="2816" spans="16:17" x14ac:dyDescent="0.25">
      <c r="P2816" s="220"/>
      <c r="Q2816" s="366"/>
    </row>
    <row r="2817" spans="16:17" x14ac:dyDescent="0.25">
      <c r="P2817" s="220"/>
      <c r="Q2817" s="366"/>
    </row>
    <row r="2818" spans="16:17" x14ac:dyDescent="0.25">
      <c r="P2818" s="220"/>
      <c r="Q2818" s="366"/>
    </row>
    <row r="2819" spans="16:17" x14ac:dyDescent="0.25">
      <c r="P2819" s="220"/>
      <c r="Q2819" s="366"/>
    </row>
    <row r="2820" spans="16:17" x14ac:dyDescent="0.25">
      <c r="P2820" s="220"/>
      <c r="Q2820" s="366"/>
    </row>
    <row r="2821" spans="16:17" x14ac:dyDescent="0.25">
      <c r="P2821" s="220"/>
      <c r="Q2821" s="366"/>
    </row>
    <row r="2822" spans="16:17" x14ac:dyDescent="0.25">
      <c r="P2822" s="220"/>
      <c r="Q2822" s="366"/>
    </row>
    <row r="2823" spans="16:17" x14ac:dyDescent="0.25">
      <c r="P2823" s="220"/>
      <c r="Q2823" s="366"/>
    </row>
    <row r="2824" spans="16:17" x14ac:dyDescent="0.25">
      <c r="P2824" s="220"/>
      <c r="Q2824" s="366"/>
    </row>
    <row r="2825" spans="16:17" x14ac:dyDescent="0.25">
      <c r="P2825" s="220"/>
      <c r="Q2825" s="366"/>
    </row>
    <row r="2826" spans="16:17" x14ac:dyDescent="0.25">
      <c r="P2826" s="220"/>
      <c r="Q2826" s="366"/>
    </row>
    <row r="2827" spans="16:17" x14ac:dyDescent="0.25">
      <c r="P2827" s="220"/>
      <c r="Q2827" s="366"/>
    </row>
    <row r="2828" spans="16:17" x14ac:dyDescent="0.25">
      <c r="P2828" s="220"/>
      <c r="Q2828" s="366"/>
    </row>
    <row r="2829" spans="16:17" x14ac:dyDescent="0.25">
      <c r="P2829" s="220"/>
      <c r="Q2829" s="366"/>
    </row>
    <row r="2830" spans="16:17" x14ac:dyDescent="0.25">
      <c r="P2830" s="220"/>
      <c r="Q2830" s="366"/>
    </row>
    <row r="2831" spans="16:17" x14ac:dyDescent="0.25">
      <c r="P2831" s="220"/>
      <c r="Q2831" s="366"/>
    </row>
    <row r="2832" spans="16:17" x14ac:dyDescent="0.25">
      <c r="P2832" s="220"/>
      <c r="Q2832" s="366"/>
    </row>
    <row r="2833" spans="16:17" x14ac:dyDescent="0.25">
      <c r="P2833" s="220"/>
      <c r="Q2833" s="366"/>
    </row>
    <row r="2834" spans="16:17" x14ac:dyDescent="0.25">
      <c r="P2834" s="220"/>
      <c r="Q2834" s="366"/>
    </row>
    <row r="2835" spans="16:17" x14ac:dyDescent="0.25">
      <c r="P2835" s="220"/>
      <c r="Q2835" s="366"/>
    </row>
    <row r="2836" spans="16:17" x14ac:dyDescent="0.25">
      <c r="P2836" s="220"/>
      <c r="Q2836" s="366"/>
    </row>
    <row r="2837" spans="16:17" x14ac:dyDescent="0.25">
      <c r="P2837" s="220"/>
      <c r="Q2837" s="366"/>
    </row>
    <row r="2838" spans="16:17" x14ac:dyDescent="0.25">
      <c r="P2838" s="220"/>
      <c r="Q2838" s="366"/>
    </row>
    <row r="2839" spans="16:17" x14ac:dyDescent="0.25">
      <c r="P2839" s="220"/>
      <c r="Q2839" s="366"/>
    </row>
    <row r="2840" spans="16:17" x14ac:dyDescent="0.25">
      <c r="P2840" s="220"/>
      <c r="Q2840" s="366"/>
    </row>
    <row r="2841" spans="16:17" x14ac:dyDescent="0.25">
      <c r="P2841" s="220"/>
      <c r="Q2841" s="366"/>
    </row>
    <row r="2842" spans="16:17" x14ac:dyDescent="0.25">
      <c r="P2842" s="220"/>
      <c r="Q2842" s="366"/>
    </row>
    <row r="2843" spans="16:17" x14ac:dyDescent="0.25">
      <c r="P2843" s="220"/>
      <c r="Q2843" s="366"/>
    </row>
    <row r="2844" spans="16:17" x14ac:dyDescent="0.25">
      <c r="P2844" s="220"/>
      <c r="Q2844" s="366"/>
    </row>
    <row r="2845" spans="16:17" x14ac:dyDescent="0.25">
      <c r="P2845" s="220"/>
      <c r="Q2845" s="366"/>
    </row>
    <row r="2846" spans="16:17" x14ac:dyDescent="0.25">
      <c r="P2846" s="220"/>
      <c r="Q2846" s="366"/>
    </row>
    <row r="2847" spans="16:17" x14ac:dyDescent="0.25">
      <c r="P2847" s="220"/>
      <c r="Q2847" s="366"/>
    </row>
    <row r="2848" spans="16:17" x14ac:dyDescent="0.25">
      <c r="P2848" s="220"/>
      <c r="Q2848" s="366"/>
    </row>
    <row r="2849" spans="16:17" x14ac:dyDescent="0.25">
      <c r="P2849" s="220"/>
      <c r="Q2849" s="366"/>
    </row>
    <row r="2850" spans="16:17" x14ac:dyDescent="0.25">
      <c r="P2850" s="220"/>
      <c r="Q2850" s="366"/>
    </row>
    <row r="2851" spans="16:17" x14ac:dyDescent="0.25">
      <c r="P2851" s="220"/>
      <c r="Q2851" s="366"/>
    </row>
    <row r="2852" spans="16:17" x14ac:dyDescent="0.25">
      <c r="P2852" s="220"/>
      <c r="Q2852" s="366"/>
    </row>
    <row r="2853" spans="16:17" x14ac:dyDescent="0.25">
      <c r="P2853" s="220"/>
      <c r="Q2853" s="366"/>
    </row>
    <row r="2854" spans="16:17" x14ac:dyDescent="0.25">
      <c r="P2854" s="220"/>
      <c r="Q2854" s="366"/>
    </row>
    <row r="2855" spans="16:17" x14ac:dyDescent="0.25">
      <c r="P2855" s="220"/>
      <c r="Q2855" s="366"/>
    </row>
    <row r="2856" spans="16:17" x14ac:dyDescent="0.25">
      <c r="P2856" s="220"/>
      <c r="Q2856" s="366"/>
    </row>
    <row r="2857" spans="16:17" x14ac:dyDescent="0.25">
      <c r="P2857" s="220"/>
      <c r="Q2857" s="366"/>
    </row>
    <row r="2858" spans="16:17" x14ac:dyDescent="0.25">
      <c r="P2858" s="220"/>
      <c r="Q2858" s="366"/>
    </row>
    <row r="2859" spans="16:17" x14ac:dyDescent="0.25">
      <c r="P2859" s="220"/>
      <c r="Q2859" s="366"/>
    </row>
    <row r="2860" spans="16:17" x14ac:dyDescent="0.25">
      <c r="P2860" s="220"/>
      <c r="Q2860" s="366"/>
    </row>
    <row r="2861" spans="16:17" x14ac:dyDescent="0.25">
      <c r="P2861" s="220"/>
      <c r="Q2861" s="366"/>
    </row>
    <row r="2862" spans="16:17" x14ac:dyDescent="0.25">
      <c r="P2862" s="220"/>
      <c r="Q2862" s="366"/>
    </row>
    <row r="2863" spans="16:17" x14ac:dyDescent="0.25">
      <c r="P2863" s="220"/>
      <c r="Q2863" s="366"/>
    </row>
    <row r="2864" spans="16:17" x14ac:dyDescent="0.25">
      <c r="P2864" s="220"/>
      <c r="Q2864" s="366"/>
    </row>
    <row r="2865" spans="16:17" x14ac:dyDescent="0.25">
      <c r="P2865" s="220"/>
      <c r="Q2865" s="366"/>
    </row>
    <row r="2866" spans="16:17" x14ac:dyDescent="0.25">
      <c r="P2866" s="220"/>
      <c r="Q2866" s="366"/>
    </row>
    <row r="2867" spans="16:17" x14ac:dyDescent="0.25">
      <c r="P2867" s="220"/>
      <c r="Q2867" s="366"/>
    </row>
    <row r="2868" spans="16:17" x14ac:dyDescent="0.25">
      <c r="P2868" s="220"/>
      <c r="Q2868" s="366"/>
    </row>
    <row r="2869" spans="16:17" x14ac:dyDescent="0.25">
      <c r="P2869" s="220"/>
      <c r="Q2869" s="366"/>
    </row>
    <row r="2870" spans="16:17" x14ac:dyDescent="0.25">
      <c r="P2870" s="220"/>
      <c r="Q2870" s="366"/>
    </row>
    <row r="2871" spans="16:17" x14ac:dyDescent="0.25">
      <c r="P2871" s="220"/>
      <c r="Q2871" s="366"/>
    </row>
    <row r="2872" spans="16:17" x14ac:dyDescent="0.25">
      <c r="P2872" s="220"/>
      <c r="Q2872" s="366"/>
    </row>
    <row r="2873" spans="16:17" x14ac:dyDescent="0.25">
      <c r="P2873" s="220"/>
      <c r="Q2873" s="366"/>
    </row>
    <row r="2874" spans="16:17" x14ac:dyDescent="0.25">
      <c r="P2874" s="220"/>
      <c r="Q2874" s="366"/>
    </row>
    <row r="2875" spans="16:17" x14ac:dyDescent="0.25">
      <c r="P2875" s="220"/>
      <c r="Q2875" s="366"/>
    </row>
    <row r="2876" spans="16:17" x14ac:dyDescent="0.25">
      <c r="P2876" s="220"/>
      <c r="Q2876" s="366"/>
    </row>
    <row r="2877" spans="16:17" x14ac:dyDescent="0.25">
      <c r="P2877" s="220"/>
      <c r="Q2877" s="366"/>
    </row>
    <row r="2878" spans="16:17" x14ac:dyDescent="0.25">
      <c r="P2878" s="220"/>
      <c r="Q2878" s="366"/>
    </row>
    <row r="2879" spans="16:17" x14ac:dyDescent="0.25">
      <c r="P2879" s="220"/>
      <c r="Q2879" s="366"/>
    </row>
    <row r="2880" spans="16:17" x14ac:dyDescent="0.25">
      <c r="P2880" s="220"/>
      <c r="Q2880" s="366"/>
    </row>
    <row r="2881" spans="16:17" x14ac:dyDescent="0.25">
      <c r="P2881" s="220"/>
      <c r="Q2881" s="366"/>
    </row>
    <row r="2882" spans="16:17" x14ac:dyDescent="0.25">
      <c r="P2882" s="220"/>
      <c r="Q2882" s="366"/>
    </row>
    <row r="2883" spans="16:17" x14ac:dyDescent="0.25">
      <c r="P2883" s="220"/>
      <c r="Q2883" s="366"/>
    </row>
    <row r="2884" spans="16:17" x14ac:dyDescent="0.25">
      <c r="P2884" s="220"/>
      <c r="Q2884" s="366"/>
    </row>
    <row r="2885" spans="16:17" x14ac:dyDescent="0.25">
      <c r="P2885" s="220"/>
      <c r="Q2885" s="366"/>
    </row>
    <row r="2886" spans="16:17" x14ac:dyDescent="0.25">
      <c r="P2886" s="220"/>
      <c r="Q2886" s="366"/>
    </row>
    <row r="2887" spans="16:17" x14ac:dyDescent="0.25">
      <c r="P2887" s="220"/>
      <c r="Q2887" s="366"/>
    </row>
    <row r="2888" spans="16:17" x14ac:dyDescent="0.25">
      <c r="P2888" s="220"/>
      <c r="Q2888" s="366"/>
    </row>
    <row r="2889" spans="16:17" x14ac:dyDescent="0.25">
      <c r="P2889" s="220"/>
      <c r="Q2889" s="366"/>
    </row>
    <row r="2890" spans="16:17" x14ac:dyDescent="0.25">
      <c r="P2890" s="220"/>
      <c r="Q2890" s="366"/>
    </row>
    <row r="2891" spans="16:17" x14ac:dyDescent="0.25">
      <c r="P2891" s="220"/>
      <c r="Q2891" s="366"/>
    </row>
    <row r="2892" spans="16:17" x14ac:dyDescent="0.25">
      <c r="P2892" s="220"/>
      <c r="Q2892" s="366"/>
    </row>
    <row r="2893" spans="16:17" x14ac:dyDescent="0.25">
      <c r="P2893" s="220"/>
      <c r="Q2893" s="366"/>
    </row>
    <row r="2894" spans="16:17" x14ac:dyDescent="0.25">
      <c r="P2894" s="220"/>
      <c r="Q2894" s="366"/>
    </row>
    <row r="2895" spans="16:17" x14ac:dyDescent="0.25">
      <c r="P2895" s="220"/>
      <c r="Q2895" s="366"/>
    </row>
    <row r="2896" spans="16:17" x14ac:dyDescent="0.25">
      <c r="P2896" s="220"/>
      <c r="Q2896" s="366"/>
    </row>
    <row r="2897" spans="16:17" x14ac:dyDescent="0.25">
      <c r="P2897" s="220"/>
      <c r="Q2897" s="366"/>
    </row>
    <row r="2898" spans="16:17" x14ac:dyDescent="0.25">
      <c r="P2898" s="220"/>
      <c r="Q2898" s="366"/>
    </row>
    <row r="2899" spans="16:17" x14ac:dyDescent="0.25">
      <c r="P2899" s="220"/>
      <c r="Q2899" s="366"/>
    </row>
    <row r="2900" spans="16:17" x14ac:dyDescent="0.25">
      <c r="P2900" s="220"/>
      <c r="Q2900" s="366"/>
    </row>
    <row r="2901" spans="16:17" x14ac:dyDescent="0.25">
      <c r="P2901" s="220"/>
      <c r="Q2901" s="366"/>
    </row>
    <row r="2902" spans="16:17" x14ac:dyDescent="0.25">
      <c r="P2902" s="220"/>
      <c r="Q2902" s="366"/>
    </row>
    <row r="2903" spans="16:17" x14ac:dyDescent="0.25">
      <c r="P2903" s="220"/>
      <c r="Q2903" s="366"/>
    </row>
    <row r="2904" spans="16:17" x14ac:dyDescent="0.25">
      <c r="P2904" s="220"/>
      <c r="Q2904" s="366"/>
    </row>
    <row r="2905" spans="16:17" x14ac:dyDescent="0.25">
      <c r="P2905" s="220"/>
      <c r="Q2905" s="366"/>
    </row>
    <row r="2906" spans="16:17" x14ac:dyDescent="0.25">
      <c r="P2906" s="220"/>
      <c r="Q2906" s="366"/>
    </row>
    <row r="2907" spans="16:17" x14ac:dyDescent="0.25">
      <c r="P2907" s="220"/>
      <c r="Q2907" s="366"/>
    </row>
    <row r="2908" spans="16:17" x14ac:dyDescent="0.25">
      <c r="P2908" s="220"/>
      <c r="Q2908" s="366"/>
    </row>
    <row r="2909" spans="16:17" x14ac:dyDescent="0.25">
      <c r="P2909" s="220"/>
      <c r="Q2909" s="366"/>
    </row>
    <row r="2910" spans="16:17" x14ac:dyDescent="0.25">
      <c r="P2910" s="220"/>
      <c r="Q2910" s="366"/>
    </row>
    <row r="2911" spans="16:17" x14ac:dyDescent="0.25">
      <c r="P2911" s="220"/>
      <c r="Q2911" s="366"/>
    </row>
    <row r="2912" spans="16:17" x14ac:dyDescent="0.25">
      <c r="P2912" s="220"/>
      <c r="Q2912" s="366"/>
    </row>
    <row r="2913" spans="16:17" x14ac:dyDescent="0.25">
      <c r="P2913" s="220"/>
      <c r="Q2913" s="366"/>
    </row>
    <row r="2914" spans="16:17" x14ac:dyDescent="0.25">
      <c r="P2914" s="220"/>
      <c r="Q2914" s="366"/>
    </row>
    <row r="2915" spans="16:17" x14ac:dyDescent="0.25">
      <c r="P2915" s="220"/>
      <c r="Q2915" s="366"/>
    </row>
    <row r="2916" spans="16:17" x14ac:dyDescent="0.25">
      <c r="P2916" s="220"/>
      <c r="Q2916" s="366"/>
    </row>
    <row r="2917" spans="16:17" x14ac:dyDescent="0.25">
      <c r="P2917" s="220"/>
      <c r="Q2917" s="366"/>
    </row>
    <row r="2918" spans="16:17" x14ac:dyDescent="0.25">
      <c r="P2918" s="220"/>
      <c r="Q2918" s="366"/>
    </row>
    <row r="2919" spans="16:17" x14ac:dyDescent="0.25">
      <c r="P2919" s="220"/>
      <c r="Q2919" s="366"/>
    </row>
    <row r="2920" spans="16:17" x14ac:dyDescent="0.25">
      <c r="P2920" s="220"/>
      <c r="Q2920" s="366"/>
    </row>
    <row r="2921" spans="16:17" x14ac:dyDescent="0.25">
      <c r="P2921" s="220"/>
      <c r="Q2921" s="366"/>
    </row>
    <row r="2922" spans="16:17" x14ac:dyDescent="0.25">
      <c r="P2922" s="220"/>
      <c r="Q2922" s="366"/>
    </row>
    <row r="2923" spans="16:17" x14ac:dyDescent="0.25">
      <c r="P2923" s="220"/>
      <c r="Q2923" s="366"/>
    </row>
    <row r="2924" spans="16:17" x14ac:dyDescent="0.25">
      <c r="P2924" s="220"/>
      <c r="Q2924" s="366"/>
    </row>
    <row r="2925" spans="16:17" x14ac:dyDescent="0.25">
      <c r="P2925" s="220"/>
      <c r="Q2925" s="366"/>
    </row>
    <row r="2926" spans="16:17" x14ac:dyDescent="0.25">
      <c r="P2926" s="220"/>
      <c r="Q2926" s="366"/>
    </row>
    <row r="2927" spans="16:17" x14ac:dyDescent="0.25">
      <c r="P2927" s="220"/>
      <c r="Q2927" s="366"/>
    </row>
    <row r="2928" spans="16:17" x14ac:dyDescent="0.25">
      <c r="P2928" s="220"/>
      <c r="Q2928" s="366"/>
    </row>
    <row r="2929" spans="16:17" x14ac:dyDescent="0.25">
      <c r="P2929" s="220"/>
      <c r="Q2929" s="366"/>
    </row>
    <row r="2930" spans="16:17" x14ac:dyDescent="0.25">
      <c r="P2930" s="220"/>
      <c r="Q2930" s="366"/>
    </row>
    <row r="2931" spans="16:17" x14ac:dyDescent="0.25">
      <c r="P2931" s="220"/>
      <c r="Q2931" s="366"/>
    </row>
    <row r="2932" spans="16:17" x14ac:dyDescent="0.25">
      <c r="P2932" s="220"/>
      <c r="Q2932" s="366"/>
    </row>
    <row r="2933" spans="16:17" x14ac:dyDescent="0.25">
      <c r="P2933" s="220"/>
      <c r="Q2933" s="366"/>
    </row>
    <row r="2934" spans="16:17" x14ac:dyDescent="0.25">
      <c r="P2934" s="220"/>
      <c r="Q2934" s="366"/>
    </row>
    <row r="2935" spans="16:17" x14ac:dyDescent="0.25">
      <c r="P2935" s="220"/>
      <c r="Q2935" s="366"/>
    </row>
    <row r="2936" spans="16:17" x14ac:dyDescent="0.25">
      <c r="P2936" s="220"/>
      <c r="Q2936" s="366"/>
    </row>
    <row r="2937" spans="16:17" x14ac:dyDescent="0.25">
      <c r="P2937" s="220"/>
      <c r="Q2937" s="366"/>
    </row>
    <row r="2938" spans="16:17" x14ac:dyDescent="0.25">
      <c r="P2938" s="220"/>
      <c r="Q2938" s="366"/>
    </row>
    <row r="2939" spans="16:17" x14ac:dyDescent="0.25">
      <c r="P2939" s="220"/>
      <c r="Q2939" s="366"/>
    </row>
    <row r="2940" spans="16:17" x14ac:dyDescent="0.25">
      <c r="P2940" s="220"/>
      <c r="Q2940" s="366"/>
    </row>
    <row r="2941" spans="16:17" x14ac:dyDescent="0.25">
      <c r="P2941" s="220"/>
      <c r="Q2941" s="366"/>
    </row>
    <row r="2942" spans="16:17" x14ac:dyDescent="0.25">
      <c r="P2942" s="220"/>
      <c r="Q2942" s="366"/>
    </row>
    <row r="2943" spans="16:17" x14ac:dyDescent="0.25">
      <c r="P2943" s="220"/>
      <c r="Q2943" s="366"/>
    </row>
    <row r="2944" spans="16:17" x14ac:dyDescent="0.25">
      <c r="P2944" s="220"/>
      <c r="Q2944" s="366"/>
    </row>
    <row r="2945" spans="16:17" x14ac:dyDescent="0.25">
      <c r="P2945" s="220"/>
      <c r="Q2945" s="366"/>
    </row>
    <row r="2946" spans="16:17" x14ac:dyDescent="0.25">
      <c r="P2946" s="220"/>
      <c r="Q2946" s="366"/>
    </row>
    <row r="2947" spans="16:17" x14ac:dyDescent="0.25">
      <c r="P2947" s="220"/>
      <c r="Q2947" s="366"/>
    </row>
    <row r="2948" spans="16:17" x14ac:dyDescent="0.25">
      <c r="P2948" s="220"/>
      <c r="Q2948" s="366"/>
    </row>
    <row r="2949" spans="16:17" x14ac:dyDescent="0.25">
      <c r="P2949" s="220"/>
      <c r="Q2949" s="366"/>
    </row>
    <row r="2950" spans="16:17" x14ac:dyDescent="0.25">
      <c r="P2950" s="220"/>
      <c r="Q2950" s="366"/>
    </row>
    <row r="2951" spans="16:17" x14ac:dyDescent="0.25">
      <c r="P2951" s="220"/>
      <c r="Q2951" s="366"/>
    </row>
    <row r="2952" spans="16:17" x14ac:dyDescent="0.25">
      <c r="P2952" s="220"/>
      <c r="Q2952" s="366"/>
    </row>
    <row r="2953" spans="16:17" x14ac:dyDescent="0.25">
      <c r="P2953" s="220"/>
      <c r="Q2953" s="366"/>
    </row>
    <row r="2954" spans="16:17" x14ac:dyDescent="0.25">
      <c r="P2954" s="220"/>
      <c r="Q2954" s="366"/>
    </row>
    <row r="2955" spans="16:17" x14ac:dyDescent="0.25">
      <c r="P2955" s="220"/>
      <c r="Q2955" s="366"/>
    </row>
    <row r="2956" spans="16:17" x14ac:dyDescent="0.25">
      <c r="P2956" s="220"/>
      <c r="Q2956" s="366"/>
    </row>
    <row r="2957" spans="16:17" x14ac:dyDescent="0.25">
      <c r="P2957" s="220"/>
      <c r="Q2957" s="366"/>
    </row>
    <row r="2958" spans="16:17" x14ac:dyDescent="0.25">
      <c r="P2958" s="220"/>
      <c r="Q2958" s="366"/>
    </row>
    <row r="2959" spans="16:17" x14ac:dyDescent="0.25">
      <c r="P2959" s="220"/>
      <c r="Q2959" s="366"/>
    </row>
    <row r="2960" spans="16:17" x14ac:dyDescent="0.25">
      <c r="P2960" s="220"/>
      <c r="Q2960" s="366"/>
    </row>
    <row r="2961" spans="16:17" x14ac:dyDescent="0.25">
      <c r="P2961" s="220"/>
      <c r="Q2961" s="366"/>
    </row>
    <row r="2962" spans="16:17" x14ac:dyDescent="0.25">
      <c r="P2962" s="220"/>
      <c r="Q2962" s="366"/>
    </row>
    <row r="2963" spans="16:17" x14ac:dyDescent="0.25">
      <c r="P2963" s="220"/>
      <c r="Q2963" s="366"/>
    </row>
    <row r="2964" spans="16:17" x14ac:dyDescent="0.25">
      <c r="P2964" s="220"/>
      <c r="Q2964" s="366"/>
    </row>
    <row r="2965" spans="16:17" x14ac:dyDescent="0.25">
      <c r="P2965" s="220"/>
      <c r="Q2965" s="366"/>
    </row>
    <row r="2966" spans="16:17" x14ac:dyDescent="0.25">
      <c r="P2966" s="220"/>
      <c r="Q2966" s="366"/>
    </row>
    <row r="2967" spans="16:17" x14ac:dyDescent="0.25">
      <c r="P2967" s="220"/>
      <c r="Q2967" s="366"/>
    </row>
    <row r="2968" spans="16:17" x14ac:dyDescent="0.25">
      <c r="P2968" s="220"/>
      <c r="Q2968" s="366"/>
    </row>
    <row r="2969" spans="16:17" x14ac:dyDescent="0.25">
      <c r="P2969" s="220"/>
      <c r="Q2969" s="366"/>
    </row>
    <row r="2970" spans="16:17" x14ac:dyDescent="0.25">
      <c r="P2970" s="220"/>
      <c r="Q2970" s="366"/>
    </row>
    <row r="2971" spans="16:17" x14ac:dyDescent="0.25">
      <c r="P2971" s="220"/>
      <c r="Q2971" s="366"/>
    </row>
    <row r="2972" spans="16:17" x14ac:dyDescent="0.25">
      <c r="P2972" s="220"/>
      <c r="Q2972" s="366"/>
    </row>
    <row r="2973" spans="16:17" x14ac:dyDescent="0.25">
      <c r="P2973" s="220"/>
      <c r="Q2973" s="366"/>
    </row>
    <row r="2974" spans="16:17" x14ac:dyDescent="0.25">
      <c r="P2974" s="220"/>
      <c r="Q2974" s="366"/>
    </row>
    <row r="2975" spans="16:17" x14ac:dyDescent="0.25">
      <c r="P2975" s="220"/>
      <c r="Q2975" s="366"/>
    </row>
    <row r="2976" spans="16:17" x14ac:dyDescent="0.25">
      <c r="P2976" s="220"/>
      <c r="Q2976" s="366"/>
    </row>
    <row r="2977" spans="16:17" x14ac:dyDescent="0.25">
      <c r="P2977" s="220"/>
      <c r="Q2977" s="366"/>
    </row>
    <row r="2978" spans="16:17" x14ac:dyDescent="0.25">
      <c r="P2978" s="220"/>
      <c r="Q2978" s="366"/>
    </row>
    <row r="2979" spans="16:17" x14ac:dyDescent="0.25">
      <c r="P2979" s="220"/>
      <c r="Q2979" s="366"/>
    </row>
    <row r="2980" spans="16:17" x14ac:dyDescent="0.25">
      <c r="P2980" s="220"/>
      <c r="Q2980" s="366"/>
    </row>
    <row r="2981" spans="16:17" x14ac:dyDescent="0.25">
      <c r="P2981" s="220"/>
      <c r="Q2981" s="366"/>
    </row>
    <row r="2982" spans="16:17" x14ac:dyDescent="0.25">
      <c r="P2982" s="220"/>
      <c r="Q2982" s="366"/>
    </row>
    <row r="2983" spans="16:17" x14ac:dyDescent="0.25">
      <c r="P2983" s="220"/>
      <c r="Q2983" s="366"/>
    </row>
    <row r="2984" spans="16:17" x14ac:dyDescent="0.25">
      <c r="P2984" s="220"/>
      <c r="Q2984" s="366"/>
    </row>
    <row r="2985" spans="16:17" x14ac:dyDescent="0.25">
      <c r="P2985" s="220"/>
      <c r="Q2985" s="366"/>
    </row>
    <row r="2986" spans="16:17" x14ac:dyDescent="0.25">
      <c r="P2986" s="220"/>
      <c r="Q2986" s="366"/>
    </row>
    <row r="2987" spans="16:17" x14ac:dyDescent="0.25">
      <c r="P2987" s="220"/>
      <c r="Q2987" s="366"/>
    </row>
    <row r="2988" spans="16:17" x14ac:dyDescent="0.25">
      <c r="P2988" s="220"/>
      <c r="Q2988" s="366"/>
    </row>
    <row r="2989" spans="16:17" x14ac:dyDescent="0.25">
      <c r="P2989" s="220"/>
      <c r="Q2989" s="366"/>
    </row>
    <row r="2990" spans="16:17" x14ac:dyDescent="0.25">
      <c r="P2990" s="220"/>
      <c r="Q2990" s="366"/>
    </row>
    <row r="2991" spans="16:17" x14ac:dyDescent="0.25">
      <c r="P2991" s="220"/>
      <c r="Q2991" s="366"/>
    </row>
    <row r="2992" spans="16:17" x14ac:dyDescent="0.25">
      <c r="P2992" s="220"/>
      <c r="Q2992" s="366"/>
    </row>
    <row r="2993" spans="16:17" x14ac:dyDescent="0.25">
      <c r="P2993" s="220"/>
      <c r="Q2993" s="366"/>
    </row>
    <row r="2994" spans="16:17" x14ac:dyDescent="0.25">
      <c r="P2994" s="220"/>
      <c r="Q2994" s="366"/>
    </row>
    <row r="2995" spans="16:17" x14ac:dyDescent="0.25">
      <c r="P2995" s="220"/>
      <c r="Q2995" s="366"/>
    </row>
    <row r="2996" spans="16:17" x14ac:dyDescent="0.25">
      <c r="P2996" s="220"/>
      <c r="Q2996" s="366"/>
    </row>
    <row r="2997" spans="16:17" x14ac:dyDescent="0.25">
      <c r="P2997" s="220"/>
      <c r="Q2997" s="366"/>
    </row>
    <row r="2998" spans="16:17" x14ac:dyDescent="0.25">
      <c r="P2998" s="220"/>
      <c r="Q2998" s="366"/>
    </row>
    <row r="2999" spans="16:17" x14ac:dyDescent="0.25">
      <c r="P2999" s="220"/>
      <c r="Q2999" s="366"/>
    </row>
    <row r="3000" spans="16:17" x14ac:dyDescent="0.25">
      <c r="P3000" s="220"/>
      <c r="Q3000" s="366"/>
    </row>
    <row r="3001" spans="16:17" x14ac:dyDescent="0.25">
      <c r="P3001" s="220"/>
      <c r="Q3001" s="366"/>
    </row>
    <row r="3002" spans="16:17" x14ac:dyDescent="0.25">
      <c r="P3002" s="220"/>
      <c r="Q3002" s="366"/>
    </row>
    <row r="3003" spans="16:17" x14ac:dyDescent="0.25">
      <c r="P3003" s="220"/>
      <c r="Q3003" s="366"/>
    </row>
    <row r="3004" spans="16:17" x14ac:dyDescent="0.25">
      <c r="P3004" s="220"/>
      <c r="Q3004" s="366"/>
    </row>
    <row r="3005" spans="16:17" x14ac:dyDescent="0.25">
      <c r="P3005" s="220"/>
      <c r="Q3005" s="366"/>
    </row>
    <row r="3006" spans="16:17" x14ac:dyDescent="0.25">
      <c r="P3006" s="220"/>
      <c r="Q3006" s="366"/>
    </row>
    <row r="3007" spans="16:17" x14ac:dyDescent="0.25">
      <c r="P3007" s="220"/>
      <c r="Q3007" s="366"/>
    </row>
    <row r="3008" spans="16:17" x14ac:dyDescent="0.25">
      <c r="P3008" s="220"/>
      <c r="Q3008" s="366"/>
    </row>
    <row r="3009" spans="16:17" x14ac:dyDescent="0.25">
      <c r="P3009" s="220"/>
      <c r="Q3009" s="366"/>
    </row>
    <row r="3010" spans="16:17" x14ac:dyDescent="0.25">
      <c r="P3010" s="220"/>
      <c r="Q3010" s="366"/>
    </row>
    <row r="3011" spans="16:17" x14ac:dyDescent="0.25">
      <c r="P3011" s="220"/>
      <c r="Q3011" s="366"/>
    </row>
    <row r="3012" spans="16:17" x14ac:dyDescent="0.25">
      <c r="P3012" s="220"/>
      <c r="Q3012" s="366"/>
    </row>
    <row r="3013" spans="16:17" x14ac:dyDescent="0.25">
      <c r="P3013" s="220"/>
      <c r="Q3013" s="366"/>
    </row>
    <row r="3014" spans="16:17" x14ac:dyDescent="0.25">
      <c r="P3014" s="220"/>
      <c r="Q3014" s="366"/>
    </row>
    <row r="3015" spans="16:17" x14ac:dyDescent="0.25">
      <c r="P3015" s="220"/>
      <c r="Q3015" s="366"/>
    </row>
    <row r="3016" spans="16:17" x14ac:dyDescent="0.25">
      <c r="P3016" s="220"/>
      <c r="Q3016" s="366"/>
    </row>
    <row r="3017" spans="16:17" x14ac:dyDescent="0.25">
      <c r="P3017" s="220"/>
      <c r="Q3017" s="366"/>
    </row>
    <row r="3018" spans="16:17" x14ac:dyDescent="0.25">
      <c r="P3018" s="220"/>
      <c r="Q3018" s="366"/>
    </row>
    <row r="3019" spans="16:17" x14ac:dyDescent="0.25">
      <c r="P3019" s="220"/>
      <c r="Q3019" s="366"/>
    </row>
    <row r="3020" spans="16:17" x14ac:dyDescent="0.25">
      <c r="P3020" s="220"/>
      <c r="Q3020" s="366"/>
    </row>
    <row r="3021" spans="16:17" x14ac:dyDescent="0.25">
      <c r="P3021" s="220"/>
      <c r="Q3021" s="366"/>
    </row>
    <row r="3022" spans="16:17" x14ac:dyDescent="0.25">
      <c r="P3022" s="220"/>
      <c r="Q3022" s="366"/>
    </row>
    <row r="3023" spans="16:17" x14ac:dyDescent="0.25">
      <c r="P3023" s="220"/>
      <c r="Q3023" s="366"/>
    </row>
    <row r="3024" spans="16:17" x14ac:dyDescent="0.25">
      <c r="P3024" s="220"/>
      <c r="Q3024" s="366"/>
    </row>
    <row r="3025" spans="16:17" x14ac:dyDescent="0.25">
      <c r="P3025" s="220"/>
      <c r="Q3025" s="366"/>
    </row>
    <row r="3026" spans="16:17" x14ac:dyDescent="0.25">
      <c r="P3026" s="220"/>
      <c r="Q3026" s="366"/>
    </row>
    <row r="3027" spans="16:17" x14ac:dyDescent="0.25">
      <c r="P3027" s="220"/>
      <c r="Q3027" s="366"/>
    </row>
    <row r="3028" spans="16:17" x14ac:dyDescent="0.25">
      <c r="P3028" s="220"/>
      <c r="Q3028" s="366"/>
    </row>
    <row r="3029" spans="16:17" x14ac:dyDescent="0.25">
      <c r="P3029" s="220"/>
      <c r="Q3029" s="366"/>
    </row>
    <row r="3030" spans="16:17" x14ac:dyDescent="0.25">
      <c r="P3030" s="220"/>
      <c r="Q3030" s="366"/>
    </row>
    <row r="3031" spans="16:17" x14ac:dyDescent="0.25">
      <c r="P3031" s="220"/>
      <c r="Q3031" s="366"/>
    </row>
    <row r="3032" spans="16:17" x14ac:dyDescent="0.25">
      <c r="P3032" s="220"/>
      <c r="Q3032" s="366"/>
    </row>
    <row r="3033" spans="16:17" x14ac:dyDescent="0.25">
      <c r="P3033" s="220"/>
      <c r="Q3033" s="366"/>
    </row>
    <row r="3034" spans="16:17" x14ac:dyDescent="0.25">
      <c r="P3034" s="220"/>
      <c r="Q3034" s="366"/>
    </row>
    <row r="3035" spans="16:17" x14ac:dyDescent="0.25">
      <c r="P3035" s="220"/>
      <c r="Q3035" s="366"/>
    </row>
    <row r="3036" spans="16:17" x14ac:dyDescent="0.25">
      <c r="P3036" s="220"/>
      <c r="Q3036" s="366"/>
    </row>
    <row r="3037" spans="16:17" x14ac:dyDescent="0.25">
      <c r="P3037" s="220"/>
      <c r="Q3037" s="366"/>
    </row>
    <row r="3038" spans="16:17" x14ac:dyDescent="0.25">
      <c r="P3038" s="220"/>
      <c r="Q3038" s="366"/>
    </row>
    <row r="3039" spans="16:17" x14ac:dyDescent="0.25">
      <c r="P3039" s="220"/>
      <c r="Q3039" s="366"/>
    </row>
    <row r="3040" spans="16:17" x14ac:dyDescent="0.25">
      <c r="P3040" s="220"/>
      <c r="Q3040" s="366"/>
    </row>
    <row r="3041" spans="16:17" x14ac:dyDescent="0.25">
      <c r="P3041" s="220"/>
      <c r="Q3041" s="366"/>
    </row>
    <row r="3042" spans="16:17" x14ac:dyDescent="0.25">
      <c r="P3042" s="220"/>
      <c r="Q3042" s="366"/>
    </row>
    <row r="3043" spans="16:17" x14ac:dyDescent="0.25">
      <c r="P3043" s="220"/>
      <c r="Q3043" s="366"/>
    </row>
    <row r="3044" spans="16:17" x14ac:dyDescent="0.25">
      <c r="P3044" s="220"/>
      <c r="Q3044" s="366"/>
    </row>
    <row r="3045" spans="16:17" x14ac:dyDescent="0.25">
      <c r="P3045" s="220"/>
      <c r="Q3045" s="366"/>
    </row>
    <row r="3046" spans="16:17" x14ac:dyDescent="0.25">
      <c r="P3046" s="220"/>
      <c r="Q3046" s="366"/>
    </row>
    <row r="3047" spans="16:17" x14ac:dyDescent="0.25">
      <c r="P3047" s="220"/>
      <c r="Q3047" s="366"/>
    </row>
    <row r="3048" spans="16:17" x14ac:dyDescent="0.25">
      <c r="P3048" s="220"/>
      <c r="Q3048" s="366"/>
    </row>
    <row r="3049" spans="16:17" x14ac:dyDescent="0.25">
      <c r="P3049" s="220"/>
      <c r="Q3049" s="366"/>
    </row>
    <row r="3050" spans="16:17" x14ac:dyDescent="0.25">
      <c r="P3050" s="220"/>
      <c r="Q3050" s="366"/>
    </row>
    <row r="3051" spans="16:17" x14ac:dyDescent="0.25">
      <c r="P3051" s="220"/>
      <c r="Q3051" s="366"/>
    </row>
    <row r="3052" spans="16:17" x14ac:dyDescent="0.25">
      <c r="P3052" s="220"/>
      <c r="Q3052" s="366"/>
    </row>
    <row r="3053" spans="16:17" x14ac:dyDescent="0.25">
      <c r="P3053" s="220"/>
      <c r="Q3053" s="366"/>
    </row>
    <row r="3054" spans="16:17" x14ac:dyDescent="0.25">
      <c r="P3054" s="220"/>
      <c r="Q3054" s="366"/>
    </row>
    <row r="3055" spans="16:17" x14ac:dyDescent="0.25">
      <c r="P3055" s="220"/>
      <c r="Q3055" s="366"/>
    </row>
    <row r="3056" spans="16:17" x14ac:dyDescent="0.25">
      <c r="P3056" s="220"/>
      <c r="Q3056" s="366"/>
    </row>
    <row r="3057" spans="16:17" x14ac:dyDescent="0.25">
      <c r="P3057" s="220"/>
      <c r="Q3057" s="366"/>
    </row>
    <row r="3058" spans="16:17" x14ac:dyDescent="0.25">
      <c r="P3058" s="220"/>
      <c r="Q3058" s="366"/>
    </row>
    <row r="3059" spans="16:17" x14ac:dyDescent="0.25">
      <c r="P3059" s="220"/>
      <c r="Q3059" s="366"/>
    </row>
    <row r="3060" spans="16:17" x14ac:dyDescent="0.25">
      <c r="P3060" s="220"/>
      <c r="Q3060" s="366"/>
    </row>
    <row r="3061" spans="16:17" x14ac:dyDescent="0.25">
      <c r="P3061" s="220"/>
      <c r="Q3061" s="366"/>
    </row>
    <row r="3062" spans="16:17" x14ac:dyDescent="0.25">
      <c r="P3062" s="220"/>
      <c r="Q3062" s="366"/>
    </row>
    <row r="3063" spans="16:17" x14ac:dyDescent="0.25">
      <c r="P3063" s="220"/>
      <c r="Q3063" s="366"/>
    </row>
    <row r="3064" spans="16:17" x14ac:dyDescent="0.25">
      <c r="P3064" s="220"/>
      <c r="Q3064" s="366"/>
    </row>
    <row r="3065" spans="16:17" x14ac:dyDescent="0.25">
      <c r="P3065" s="220"/>
      <c r="Q3065" s="366"/>
    </row>
    <row r="3066" spans="16:17" x14ac:dyDescent="0.25">
      <c r="P3066" s="220"/>
      <c r="Q3066" s="366"/>
    </row>
    <row r="3067" spans="16:17" x14ac:dyDescent="0.25">
      <c r="P3067" s="220"/>
      <c r="Q3067" s="366"/>
    </row>
    <row r="3068" spans="16:17" x14ac:dyDescent="0.25">
      <c r="P3068" s="220"/>
      <c r="Q3068" s="366"/>
    </row>
    <row r="3069" spans="16:17" x14ac:dyDescent="0.25">
      <c r="P3069" s="220"/>
      <c r="Q3069" s="366"/>
    </row>
    <row r="3070" spans="16:17" x14ac:dyDescent="0.25">
      <c r="P3070" s="220"/>
      <c r="Q3070" s="366"/>
    </row>
    <row r="3071" spans="16:17" x14ac:dyDescent="0.25">
      <c r="P3071" s="220"/>
      <c r="Q3071" s="366"/>
    </row>
    <row r="3072" spans="16:17" x14ac:dyDescent="0.25">
      <c r="P3072" s="220"/>
      <c r="Q3072" s="366"/>
    </row>
    <row r="3073" spans="16:17" x14ac:dyDescent="0.25">
      <c r="P3073" s="220"/>
      <c r="Q3073" s="366"/>
    </row>
    <row r="3074" spans="16:17" x14ac:dyDescent="0.25">
      <c r="P3074" s="220"/>
      <c r="Q3074" s="366"/>
    </row>
    <row r="3075" spans="16:17" x14ac:dyDescent="0.25">
      <c r="P3075" s="220"/>
      <c r="Q3075" s="366"/>
    </row>
    <row r="3076" spans="16:17" x14ac:dyDescent="0.25">
      <c r="P3076" s="220"/>
      <c r="Q3076" s="366"/>
    </row>
    <row r="3077" spans="16:17" x14ac:dyDescent="0.25">
      <c r="P3077" s="220"/>
      <c r="Q3077" s="366"/>
    </row>
    <row r="3078" spans="16:17" x14ac:dyDescent="0.25">
      <c r="P3078" s="220"/>
      <c r="Q3078" s="366"/>
    </row>
    <row r="3079" spans="16:17" x14ac:dyDescent="0.25">
      <c r="P3079" s="220"/>
      <c r="Q3079" s="366"/>
    </row>
    <row r="3080" spans="16:17" x14ac:dyDescent="0.25">
      <c r="P3080" s="220"/>
      <c r="Q3080" s="366"/>
    </row>
    <row r="3081" spans="16:17" x14ac:dyDescent="0.25">
      <c r="P3081" s="220"/>
      <c r="Q3081" s="366"/>
    </row>
    <row r="3082" spans="16:17" x14ac:dyDescent="0.25">
      <c r="P3082" s="220"/>
      <c r="Q3082" s="366"/>
    </row>
    <row r="3083" spans="16:17" x14ac:dyDescent="0.25">
      <c r="P3083" s="220"/>
      <c r="Q3083" s="366"/>
    </row>
    <row r="3084" spans="16:17" x14ac:dyDescent="0.25">
      <c r="P3084" s="220"/>
      <c r="Q3084" s="366"/>
    </row>
    <row r="3085" spans="16:17" x14ac:dyDescent="0.25">
      <c r="P3085" s="220"/>
      <c r="Q3085" s="366"/>
    </row>
    <row r="3086" spans="16:17" x14ac:dyDescent="0.25">
      <c r="P3086" s="220"/>
      <c r="Q3086" s="366"/>
    </row>
    <row r="3087" spans="16:17" x14ac:dyDescent="0.25">
      <c r="P3087" s="220"/>
      <c r="Q3087" s="366"/>
    </row>
    <row r="3088" spans="16:17" x14ac:dyDescent="0.25">
      <c r="P3088" s="220"/>
      <c r="Q3088" s="366"/>
    </row>
    <row r="3089" spans="16:17" x14ac:dyDescent="0.25">
      <c r="P3089" s="220"/>
      <c r="Q3089" s="366"/>
    </row>
    <row r="3090" spans="16:17" x14ac:dyDescent="0.25">
      <c r="P3090" s="220"/>
      <c r="Q3090" s="366"/>
    </row>
    <row r="3091" spans="16:17" x14ac:dyDescent="0.25">
      <c r="P3091" s="220"/>
      <c r="Q3091" s="366"/>
    </row>
    <row r="3092" spans="16:17" x14ac:dyDescent="0.25">
      <c r="P3092" s="220"/>
      <c r="Q3092" s="366"/>
    </row>
    <row r="3093" spans="16:17" x14ac:dyDescent="0.25">
      <c r="P3093" s="220"/>
      <c r="Q3093" s="366"/>
    </row>
    <row r="3094" spans="16:17" x14ac:dyDescent="0.25">
      <c r="P3094" s="220"/>
      <c r="Q3094" s="366"/>
    </row>
    <row r="3095" spans="16:17" x14ac:dyDescent="0.25">
      <c r="P3095" s="220"/>
      <c r="Q3095" s="366"/>
    </row>
    <row r="3096" spans="16:17" x14ac:dyDescent="0.25">
      <c r="P3096" s="220"/>
      <c r="Q3096" s="366"/>
    </row>
    <row r="3097" spans="16:17" x14ac:dyDescent="0.25">
      <c r="P3097" s="220"/>
      <c r="Q3097" s="366"/>
    </row>
    <row r="3098" spans="16:17" x14ac:dyDescent="0.25">
      <c r="P3098" s="220"/>
      <c r="Q3098" s="366"/>
    </row>
    <row r="3099" spans="16:17" x14ac:dyDescent="0.25">
      <c r="P3099" s="220"/>
      <c r="Q3099" s="366"/>
    </row>
    <row r="3100" spans="16:17" x14ac:dyDescent="0.25">
      <c r="P3100" s="220"/>
      <c r="Q3100" s="366"/>
    </row>
    <row r="3101" spans="16:17" x14ac:dyDescent="0.25">
      <c r="P3101" s="220"/>
      <c r="Q3101" s="366"/>
    </row>
    <row r="3102" spans="16:17" x14ac:dyDescent="0.25">
      <c r="P3102" s="220"/>
      <c r="Q3102" s="366"/>
    </row>
    <row r="3103" spans="16:17" x14ac:dyDescent="0.25">
      <c r="P3103" s="220"/>
      <c r="Q3103" s="366"/>
    </row>
    <row r="3104" spans="16:17" x14ac:dyDescent="0.25">
      <c r="P3104" s="220"/>
      <c r="Q3104" s="366"/>
    </row>
    <row r="3105" spans="16:17" x14ac:dyDescent="0.25">
      <c r="P3105" s="220"/>
      <c r="Q3105" s="366"/>
    </row>
    <row r="3106" spans="16:17" x14ac:dyDescent="0.25">
      <c r="P3106" s="220"/>
      <c r="Q3106" s="366"/>
    </row>
    <row r="3107" spans="16:17" x14ac:dyDescent="0.25">
      <c r="P3107" s="220"/>
      <c r="Q3107" s="366"/>
    </row>
    <row r="3108" spans="16:17" x14ac:dyDescent="0.25">
      <c r="P3108" s="220"/>
      <c r="Q3108" s="366"/>
    </row>
    <row r="3109" spans="16:17" x14ac:dyDescent="0.25">
      <c r="P3109" s="220"/>
      <c r="Q3109" s="366"/>
    </row>
    <row r="3110" spans="16:17" x14ac:dyDescent="0.25">
      <c r="P3110" s="220"/>
      <c r="Q3110" s="366"/>
    </row>
    <row r="3111" spans="16:17" x14ac:dyDescent="0.25">
      <c r="P3111" s="220"/>
      <c r="Q3111" s="366"/>
    </row>
    <row r="3112" spans="16:17" x14ac:dyDescent="0.25">
      <c r="P3112" s="220"/>
      <c r="Q3112" s="366"/>
    </row>
    <row r="3113" spans="16:17" x14ac:dyDescent="0.25">
      <c r="P3113" s="220"/>
      <c r="Q3113" s="366"/>
    </row>
    <row r="3114" spans="16:17" x14ac:dyDescent="0.25">
      <c r="P3114" s="220"/>
      <c r="Q3114" s="366"/>
    </row>
    <row r="3115" spans="16:17" x14ac:dyDescent="0.25">
      <c r="P3115" s="220"/>
      <c r="Q3115" s="366"/>
    </row>
    <row r="3116" spans="16:17" x14ac:dyDescent="0.25">
      <c r="P3116" s="220"/>
      <c r="Q3116" s="366"/>
    </row>
    <row r="3117" spans="16:17" x14ac:dyDescent="0.25">
      <c r="P3117" s="220"/>
      <c r="Q3117" s="366"/>
    </row>
    <row r="3118" spans="16:17" x14ac:dyDescent="0.25">
      <c r="P3118" s="220"/>
      <c r="Q3118" s="366"/>
    </row>
    <row r="3119" spans="16:17" x14ac:dyDescent="0.25">
      <c r="P3119" s="220"/>
      <c r="Q3119" s="366"/>
    </row>
    <row r="3120" spans="16:17" x14ac:dyDescent="0.25">
      <c r="P3120" s="220"/>
      <c r="Q3120" s="366"/>
    </row>
    <row r="3121" spans="16:17" x14ac:dyDescent="0.25">
      <c r="P3121" s="220"/>
      <c r="Q3121" s="366"/>
    </row>
    <row r="3122" spans="16:17" x14ac:dyDescent="0.25">
      <c r="P3122" s="220"/>
      <c r="Q3122" s="366"/>
    </row>
    <row r="3123" spans="16:17" x14ac:dyDescent="0.25">
      <c r="P3123" s="220"/>
      <c r="Q3123" s="366"/>
    </row>
    <row r="3124" spans="16:17" x14ac:dyDescent="0.25">
      <c r="P3124" s="220"/>
      <c r="Q3124" s="366"/>
    </row>
    <row r="3125" spans="16:17" x14ac:dyDescent="0.25">
      <c r="P3125" s="220"/>
      <c r="Q3125" s="366"/>
    </row>
    <row r="3126" spans="16:17" x14ac:dyDescent="0.25">
      <c r="P3126" s="220"/>
      <c r="Q3126" s="366"/>
    </row>
    <row r="3127" spans="16:17" x14ac:dyDescent="0.25">
      <c r="P3127" s="220"/>
      <c r="Q3127" s="366"/>
    </row>
    <row r="3128" spans="16:17" x14ac:dyDescent="0.25">
      <c r="P3128" s="220"/>
      <c r="Q3128" s="366"/>
    </row>
    <row r="3129" spans="16:17" x14ac:dyDescent="0.25">
      <c r="P3129" s="220"/>
      <c r="Q3129" s="366"/>
    </row>
    <row r="3130" spans="16:17" x14ac:dyDescent="0.25">
      <c r="P3130" s="220"/>
      <c r="Q3130" s="366"/>
    </row>
    <row r="3131" spans="16:17" x14ac:dyDescent="0.25">
      <c r="P3131" s="220"/>
      <c r="Q3131" s="366"/>
    </row>
    <row r="3132" spans="16:17" x14ac:dyDescent="0.25">
      <c r="P3132" s="220"/>
      <c r="Q3132" s="366"/>
    </row>
    <row r="3133" spans="16:17" x14ac:dyDescent="0.25">
      <c r="P3133" s="220"/>
      <c r="Q3133" s="366"/>
    </row>
    <row r="3134" spans="16:17" x14ac:dyDescent="0.25">
      <c r="P3134" s="220"/>
      <c r="Q3134" s="366"/>
    </row>
    <row r="3135" spans="16:17" x14ac:dyDescent="0.25">
      <c r="P3135" s="220"/>
      <c r="Q3135" s="366"/>
    </row>
    <row r="3136" spans="16:17" x14ac:dyDescent="0.25">
      <c r="P3136" s="220"/>
      <c r="Q3136" s="366"/>
    </row>
    <row r="3137" spans="16:17" x14ac:dyDescent="0.25">
      <c r="P3137" s="220"/>
      <c r="Q3137" s="366"/>
    </row>
    <row r="3138" spans="16:17" x14ac:dyDescent="0.25">
      <c r="P3138" s="220"/>
      <c r="Q3138" s="366"/>
    </row>
    <row r="3139" spans="16:17" x14ac:dyDescent="0.25">
      <c r="P3139" s="220"/>
      <c r="Q3139" s="366"/>
    </row>
    <row r="3140" spans="16:17" x14ac:dyDescent="0.25">
      <c r="P3140" s="220"/>
      <c r="Q3140" s="366"/>
    </row>
    <row r="3141" spans="16:17" x14ac:dyDescent="0.25">
      <c r="P3141" s="220"/>
      <c r="Q3141" s="366"/>
    </row>
    <row r="3142" spans="16:17" x14ac:dyDescent="0.25">
      <c r="P3142" s="220"/>
      <c r="Q3142" s="366"/>
    </row>
    <row r="3143" spans="16:17" x14ac:dyDescent="0.25">
      <c r="P3143" s="220"/>
      <c r="Q3143" s="366"/>
    </row>
    <row r="3144" spans="16:17" x14ac:dyDescent="0.25">
      <c r="P3144" s="220"/>
      <c r="Q3144" s="366"/>
    </row>
    <row r="3145" spans="16:17" x14ac:dyDescent="0.25">
      <c r="P3145" s="220"/>
      <c r="Q3145" s="366"/>
    </row>
    <row r="3146" spans="16:17" x14ac:dyDescent="0.25">
      <c r="P3146" s="220"/>
      <c r="Q3146" s="366"/>
    </row>
    <row r="3147" spans="16:17" x14ac:dyDescent="0.25">
      <c r="P3147" s="220"/>
      <c r="Q3147" s="366"/>
    </row>
    <row r="3148" spans="16:17" x14ac:dyDescent="0.25">
      <c r="P3148" s="220"/>
      <c r="Q3148" s="366"/>
    </row>
    <row r="3149" spans="16:17" x14ac:dyDescent="0.25">
      <c r="P3149" s="220"/>
      <c r="Q3149" s="366"/>
    </row>
    <row r="3150" spans="16:17" x14ac:dyDescent="0.25">
      <c r="P3150" s="220"/>
      <c r="Q3150" s="366"/>
    </row>
    <row r="3151" spans="16:17" x14ac:dyDescent="0.25">
      <c r="P3151" s="220"/>
      <c r="Q3151" s="366"/>
    </row>
    <row r="3152" spans="16:17" x14ac:dyDescent="0.25">
      <c r="P3152" s="220"/>
      <c r="Q3152" s="366"/>
    </row>
    <row r="3153" spans="16:17" x14ac:dyDescent="0.25">
      <c r="P3153" s="220"/>
      <c r="Q3153" s="366"/>
    </row>
    <row r="3154" spans="16:17" x14ac:dyDescent="0.25">
      <c r="P3154" s="220"/>
      <c r="Q3154" s="366"/>
    </row>
    <row r="3155" spans="16:17" x14ac:dyDescent="0.25">
      <c r="P3155" s="220"/>
      <c r="Q3155" s="366"/>
    </row>
    <row r="3156" spans="16:17" x14ac:dyDescent="0.25">
      <c r="P3156" s="220"/>
      <c r="Q3156" s="366"/>
    </row>
    <row r="3157" spans="16:17" x14ac:dyDescent="0.25">
      <c r="P3157" s="220"/>
      <c r="Q3157" s="366"/>
    </row>
    <row r="3158" spans="16:17" x14ac:dyDescent="0.25">
      <c r="P3158" s="220"/>
      <c r="Q3158" s="366"/>
    </row>
    <row r="3159" spans="16:17" x14ac:dyDescent="0.25">
      <c r="P3159" s="220"/>
      <c r="Q3159" s="366"/>
    </row>
    <row r="3160" spans="16:17" x14ac:dyDescent="0.25">
      <c r="P3160" s="220"/>
      <c r="Q3160" s="366"/>
    </row>
    <row r="3161" spans="16:17" x14ac:dyDescent="0.25">
      <c r="P3161" s="220"/>
      <c r="Q3161" s="366"/>
    </row>
    <row r="3162" spans="16:17" x14ac:dyDescent="0.25">
      <c r="P3162" s="220"/>
      <c r="Q3162" s="366"/>
    </row>
    <row r="3163" spans="16:17" x14ac:dyDescent="0.25">
      <c r="P3163" s="220"/>
      <c r="Q3163" s="366"/>
    </row>
    <row r="3164" spans="16:17" x14ac:dyDescent="0.25">
      <c r="P3164" s="220"/>
      <c r="Q3164" s="366"/>
    </row>
    <row r="3165" spans="16:17" x14ac:dyDescent="0.25">
      <c r="P3165" s="220"/>
      <c r="Q3165" s="366"/>
    </row>
    <row r="3166" spans="16:17" x14ac:dyDescent="0.25">
      <c r="P3166" s="220"/>
      <c r="Q3166" s="366"/>
    </row>
    <row r="3167" spans="16:17" x14ac:dyDescent="0.25">
      <c r="P3167" s="220"/>
      <c r="Q3167" s="366"/>
    </row>
    <row r="3168" spans="16:17" x14ac:dyDescent="0.25">
      <c r="P3168" s="220"/>
      <c r="Q3168" s="366"/>
    </row>
    <row r="3169" spans="16:17" x14ac:dyDescent="0.25">
      <c r="P3169" s="220"/>
      <c r="Q3169" s="366"/>
    </row>
    <row r="3170" spans="16:17" x14ac:dyDescent="0.25">
      <c r="P3170" s="220"/>
      <c r="Q3170" s="366"/>
    </row>
    <row r="3171" spans="16:17" x14ac:dyDescent="0.25">
      <c r="P3171" s="220"/>
      <c r="Q3171" s="366"/>
    </row>
    <row r="3172" spans="16:17" x14ac:dyDescent="0.25">
      <c r="P3172" s="220"/>
      <c r="Q3172" s="366"/>
    </row>
    <row r="3173" spans="16:17" x14ac:dyDescent="0.25">
      <c r="P3173" s="220"/>
      <c r="Q3173" s="366"/>
    </row>
    <row r="3174" spans="16:17" x14ac:dyDescent="0.25">
      <c r="P3174" s="220"/>
      <c r="Q3174" s="366"/>
    </row>
    <row r="3175" spans="16:17" x14ac:dyDescent="0.25">
      <c r="P3175" s="220"/>
      <c r="Q3175" s="366"/>
    </row>
    <row r="3176" spans="16:17" x14ac:dyDescent="0.25">
      <c r="P3176" s="220"/>
      <c r="Q3176" s="366"/>
    </row>
    <row r="3177" spans="16:17" x14ac:dyDescent="0.25">
      <c r="P3177" s="220"/>
      <c r="Q3177" s="366"/>
    </row>
    <row r="3178" spans="16:17" x14ac:dyDescent="0.25">
      <c r="P3178" s="220"/>
      <c r="Q3178" s="366"/>
    </row>
    <row r="3179" spans="16:17" x14ac:dyDescent="0.25">
      <c r="P3179" s="220"/>
      <c r="Q3179" s="366"/>
    </row>
    <row r="3180" spans="16:17" x14ac:dyDescent="0.25">
      <c r="P3180" s="220"/>
      <c r="Q3180" s="366"/>
    </row>
    <row r="3181" spans="16:17" x14ac:dyDescent="0.25">
      <c r="P3181" s="220"/>
      <c r="Q3181" s="366"/>
    </row>
    <row r="3182" spans="16:17" x14ac:dyDescent="0.25">
      <c r="P3182" s="220"/>
      <c r="Q3182" s="366"/>
    </row>
    <row r="3183" spans="16:17" x14ac:dyDescent="0.25">
      <c r="P3183" s="220"/>
      <c r="Q3183" s="366"/>
    </row>
    <row r="3184" spans="16:17" x14ac:dyDescent="0.25">
      <c r="P3184" s="220"/>
      <c r="Q3184" s="366"/>
    </row>
    <row r="3185" spans="16:17" x14ac:dyDescent="0.25">
      <c r="P3185" s="220"/>
      <c r="Q3185" s="366"/>
    </row>
    <row r="3186" spans="16:17" x14ac:dyDescent="0.25">
      <c r="P3186" s="220"/>
      <c r="Q3186" s="366"/>
    </row>
    <row r="3187" spans="16:17" x14ac:dyDescent="0.25">
      <c r="P3187" s="220"/>
      <c r="Q3187" s="366"/>
    </row>
    <row r="3188" spans="16:17" x14ac:dyDescent="0.25">
      <c r="P3188" s="220"/>
      <c r="Q3188" s="366"/>
    </row>
    <row r="3189" spans="16:17" x14ac:dyDescent="0.25">
      <c r="P3189" s="220"/>
      <c r="Q3189" s="366"/>
    </row>
    <row r="3190" spans="16:17" x14ac:dyDescent="0.25">
      <c r="P3190" s="220"/>
      <c r="Q3190" s="366"/>
    </row>
    <row r="3191" spans="16:17" x14ac:dyDescent="0.25">
      <c r="P3191" s="220"/>
      <c r="Q3191" s="366"/>
    </row>
    <row r="3192" spans="16:17" x14ac:dyDescent="0.25">
      <c r="P3192" s="220"/>
      <c r="Q3192" s="366"/>
    </row>
    <row r="3193" spans="16:17" x14ac:dyDescent="0.25">
      <c r="P3193" s="220"/>
      <c r="Q3193" s="366"/>
    </row>
    <row r="3194" spans="16:17" x14ac:dyDescent="0.25">
      <c r="P3194" s="220"/>
      <c r="Q3194" s="366"/>
    </row>
    <row r="3195" spans="16:17" x14ac:dyDescent="0.25">
      <c r="P3195" s="220"/>
      <c r="Q3195" s="366"/>
    </row>
    <row r="3196" spans="16:17" x14ac:dyDescent="0.25">
      <c r="P3196" s="220"/>
      <c r="Q3196" s="366"/>
    </row>
    <row r="3197" spans="16:17" x14ac:dyDescent="0.25">
      <c r="P3197" s="220"/>
      <c r="Q3197" s="366"/>
    </row>
    <row r="3198" spans="16:17" x14ac:dyDescent="0.25">
      <c r="P3198" s="220"/>
      <c r="Q3198" s="366"/>
    </row>
    <row r="3199" spans="16:17" x14ac:dyDescent="0.25">
      <c r="P3199" s="220"/>
      <c r="Q3199" s="366"/>
    </row>
    <row r="3200" spans="16:17" x14ac:dyDescent="0.25">
      <c r="P3200" s="220"/>
      <c r="Q3200" s="366"/>
    </row>
    <row r="3201" spans="16:17" x14ac:dyDescent="0.25">
      <c r="P3201" s="220"/>
      <c r="Q3201" s="366"/>
    </row>
    <row r="3202" spans="16:17" x14ac:dyDescent="0.25">
      <c r="P3202" s="220"/>
      <c r="Q3202" s="366"/>
    </row>
    <row r="3203" spans="16:17" x14ac:dyDescent="0.25">
      <c r="P3203" s="220"/>
      <c r="Q3203" s="366"/>
    </row>
    <row r="3204" spans="16:17" x14ac:dyDescent="0.25">
      <c r="P3204" s="220"/>
      <c r="Q3204" s="366"/>
    </row>
    <row r="3205" spans="16:17" x14ac:dyDescent="0.25">
      <c r="P3205" s="220"/>
      <c r="Q3205" s="366"/>
    </row>
    <row r="3206" spans="16:17" x14ac:dyDescent="0.25">
      <c r="P3206" s="220"/>
      <c r="Q3206" s="366"/>
    </row>
    <row r="3207" spans="16:17" x14ac:dyDescent="0.25">
      <c r="P3207" s="220"/>
      <c r="Q3207" s="366"/>
    </row>
    <row r="3208" spans="16:17" x14ac:dyDescent="0.25">
      <c r="P3208" s="220"/>
      <c r="Q3208" s="366"/>
    </row>
    <row r="3209" spans="16:17" x14ac:dyDescent="0.25">
      <c r="P3209" s="220"/>
      <c r="Q3209" s="366"/>
    </row>
    <row r="3210" spans="16:17" x14ac:dyDescent="0.25">
      <c r="P3210" s="220"/>
      <c r="Q3210" s="366"/>
    </row>
    <row r="3211" spans="16:17" x14ac:dyDescent="0.25">
      <c r="P3211" s="220"/>
      <c r="Q3211" s="366"/>
    </row>
    <row r="3212" spans="16:17" x14ac:dyDescent="0.25">
      <c r="P3212" s="220"/>
      <c r="Q3212" s="366"/>
    </row>
    <row r="3213" spans="16:17" x14ac:dyDescent="0.25">
      <c r="P3213" s="220"/>
      <c r="Q3213" s="366"/>
    </row>
    <row r="3214" spans="16:17" x14ac:dyDescent="0.25">
      <c r="P3214" s="220"/>
      <c r="Q3214" s="366"/>
    </row>
    <row r="3215" spans="16:17" x14ac:dyDescent="0.25">
      <c r="P3215" s="220"/>
      <c r="Q3215" s="366"/>
    </row>
    <row r="3216" spans="16:17" x14ac:dyDescent="0.25">
      <c r="P3216" s="220"/>
      <c r="Q3216" s="366"/>
    </row>
    <row r="3217" spans="16:17" x14ac:dyDescent="0.25">
      <c r="P3217" s="220"/>
      <c r="Q3217" s="366"/>
    </row>
    <row r="3218" spans="16:17" x14ac:dyDescent="0.25">
      <c r="P3218" s="220"/>
      <c r="Q3218" s="366"/>
    </row>
    <row r="3219" spans="16:17" x14ac:dyDescent="0.25">
      <c r="P3219" s="220"/>
      <c r="Q3219" s="366"/>
    </row>
    <row r="3220" spans="16:17" x14ac:dyDescent="0.25">
      <c r="P3220" s="220"/>
      <c r="Q3220" s="366"/>
    </row>
    <row r="3221" spans="16:17" x14ac:dyDescent="0.25">
      <c r="P3221" s="220"/>
      <c r="Q3221" s="366"/>
    </row>
    <row r="3222" spans="16:17" x14ac:dyDescent="0.25">
      <c r="P3222" s="220"/>
      <c r="Q3222" s="366"/>
    </row>
    <row r="3223" spans="16:17" x14ac:dyDescent="0.25">
      <c r="P3223" s="220"/>
      <c r="Q3223" s="366"/>
    </row>
    <row r="3224" spans="16:17" x14ac:dyDescent="0.25">
      <c r="P3224" s="220"/>
      <c r="Q3224" s="366"/>
    </row>
    <row r="3225" spans="16:17" x14ac:dyDescent="0.25">
      <c r="P3225" s="220"/>
      <c r="Q3225" s="366"/>
    </row>
    <row r="3226" spans="16:17" x14ac:dyDescent="0.25">
      <c r="P3226" s="220"/>
      <c r="Q3226" s="366"/>
    </row>
    <row r="3227" spans="16:17" x14ac:dyDescent="0.25">
      <c r="P3227" s="220"/>
      <c r="Q3227" s="366"/>
    </row>
    <row r="3228" spans="16:17" x14ac:dyDescent="0.25">
      <c r="P3228" s="220"/>
      <c r="Q3228" s="366"/>
    </row>
    <row r="3229" spans="16:17" x14ac:dyDescent="0.25">
      <c r="P3229" s="220"/>
      <c r="Q3229" s="366"/>
    </row>
    <row r="3230" spans="16:17" x14ac:dyDescent="0.25">
      <c r="P3230" s="220"/>
      <c r="Q3230" s="366"/>
    </row>
    <row r="3231" spans="16:17" x14ac:dyDescent="0.25">
      <c r="P3231" s="220"/>
      <c r="Q3231" s="366"/>
    </row>
    <row r="3232" spans="16:17" x14ac:dyDescent="0.25">
      <c r="P3232" s="220"/>
      <c r="Q3232" s="366"/>
    </row>
    <row r="3233" spans="16:17" x14ac:dyDescent="0.25">
      <c r="P3233" s="220"/>
      <c r="Q3233" s="366"/>
    </row>
    <row r="3234" spans="16:17" x14ac:dyDescent="0.25">
      <c r="P3234" s="220"/>
      <c r="Q3234" s="366"/>
    </row>
    <row r="3235" spans="16:17" x14ac:dyDescent="0.25">
      <c r="P3235" s="220"/>
      <c r="Q3235" s="366"/>
    </row>
    <row r="3236" spans="16:17" x14ac:dyDescent="0.25">
      <c r="P3236" s="220"/>
      <c r="Q3236" s="366"/>
    </row>
    <row r="3237" spans="16:17" x14ac:dyDescent="0.25">
      <c r="P3237" s="220"/>
      <c r="Q3237" s="366"/>
    </row>
    <row r="3238" spans="16:17" x14ac:dyDescent="0.25">
      <c r="P3238" s="220"/>
      <c r="Q3238" s="366"/>
    </row>
    <row r="3239" spans="16:17" x14ac:dyDescent="0.25">
      <c r="P3239" s="220"/>
      <c r="Q3239" s="366"/>
    </row>
    <row r="3240" spans="16:17" x14ac:dyDescent="0.25">
      <c r="P3240" s="220"/>
      <c r="Q3240" s="366"/>
    </row>
    <row r="3241" spans="16:17" x14ac:dyDescent="0.25">
      <c r="P3241" s="220"/>
      <c r="Q3241" s="366"/>
    </row>
    <row r="3242" spans="16:17" x14ac:dyDescent="0.25">
      <c r="P3242" s="220"/>
      <c r="Q3242" s="366"/>
    </row>
    <row r="3243" spans="16:17" x14ac:dyDescent="0.25">
      <c r="P3243" s="220"/>
      <c r="Q3243" s="366"/>
    </row>
    <row r="3244" spans="16:17" x14ac:dyDescent="0.25">
      <c r="P3244" s="220"/>
      <c r="Q3244" s="366"/>
    </row>
    <row r="3245" spans="16:17" x14ac:dyDescent="0.25">
      <c r="P3245" s="220"/>
      <c r="Q3245" s="366"/>
    </row>
    <row r="3246" spans="16:17" x14ac:dyDescent="0.25">
      <c r="P3246" s="220"/>
      <c r="Q3246" s="366"/>
    </row>
    <row r="3247" spans="16:17" x14ac:dyDescent="0.25">
      <c r="P3247" s="220"/>
      <c r="Q3247" s="366"/>
    </row>
    <row r="3248" spans="16:17" x14ac:dyDescent="0.25">
      <c r="P3248" s="220"/>
      <c r="Q3248" s="366"/>
    </row>
    <row r="3249" spans="16:17" x14ac:dyDescent="0.25">
      <c r="P3249" s="220"/>
      <c r="Q3249" s="366"/>
    </row>
    <row r="3250" spans="16:17" x14ac:dyDescent="0.25">
      <c r="P3250" s="220"/>
      <c r="Q3250" s="366"/>
    </row>
    <row r="3251" spans="16:17" x14ac:dyDescent="0.25">
      <c r="P3251" s="220"/>
      <c r="Q3251" s="366"/>
    </row>
    <row r="3252" spans="16:17" x14ac:dyDescent="0.25">
      <c r="P3252" s="220"/>
      <c r="Q3252" s="366"/>
    </row>
    <row r="3253" spans="16:17" x14ac:dyDescent="0.25">
      <c r="P3253" s="220"/>
      <c r="Q3253" s="366"/>
    </row>
    <row r="3254" spans="16:17" x14ac:dyDescent="0.25">
      <c r="P3254" s="220"/>
      <c r="Q3254" s="366"/>
    </row>
    <row r="3255" spans="16:17" x14ac:dyDescent="0.25">
      <c r="P3255" s="220"/>
      <c r="Q3255" s="366"/>
    </row>
    <row r="3256" spans="16:17" x14ac:dyDescent="0.25">
      <c r="P3256" s="220"/>
      <c r="Q3256" s="366"/>
    </row>
    <row r="3257" spans="16:17" x14ac:dyDescent="0.25">
      <c r="P3257" s="220"/>
      <c r="Q3257" s="366"/>
    </row>
    <row r="3258" spans="16:17" x14ac:dyDescent="0.25">
      <c r="P3258" s="220"/>
      <c r="Q3258" s="366"/>
    </row>
    <row r="3259" spans="16:17" x14ac:dyDescent="0.25">
      <c r="P3259" s="220"/>
      <c r="Q3259" s="366"/>
    </row>
    <row r="3260" spans="16:17" x14ac:dyDescent="0.25">
      <c r="P3260" s="220"/>
      <c r="Q3260" s="366"/>
    </row>
    <row r="3261" spans="16:17" x14ac:dyDescent="0.25">
      <c r="P3261" s="220"/>
      <c r="Q3261" s="366"/>
    </row>
    <row r="3262" spans="16:17" x14ac:dyDescent="0.25">
      <c r="P3262" s="220"/>
      <c r="Q3262" s="366"/>
    </row>
    <row r="3263" spans="16:17" x14ac:dyDescent="0.25">
      <c r="P3263" s="220"/>
      <c r="Q3263" s="366"/>
    </row>
    <row r="3264" spans="16:17" x14ac:dyDescent="0.25">
      <c r="P3264" s="220"/>
      <c r="Q3264" s="366"/>
    </row>
    <row r="3265" spans="16:17" x14ac:dyDescent="0.25">
      <c r="P3265" s="220"/>
      <c r="Q3265" s="366"/>
    </row>
    <row r="3266" spans="16:17" x14ac:dyDescent="0.25">
      <c r="P3266" s="220"/>
      <c r="Q3266" s="366"/>
    </row>
    <row r="3267" spans="16:17" x14ac:dyDescent="0.25">
      <c r="P3267" s="220"/>
      <c r="Q3267" s="366"/>
    </row>
    <row r="3268" spans="16:17" x14ac:dyDescent="0.25">
      <c r="P3268" s="220"/>
      <c r="Q3268" s="366"/>
    </row>
    <row r="3269" spans="16:17" x14ac:dyDescent="0.25">
      <c r="P3269" s="220"/>
      <c r="Q3269" s="366"/>
    </row>
    <row r="3270" spans="16:17" x14ac:dyDescent="0.25">
      <c r="P3270" s="220"/>
      <c r="Q3270" s="366"/>
    </row>
    <row r="3271" spans="16:17" x14ac:dyDescent="0.25">
      <c r="P3271" s="220"/>
      <c r="Q3271" s="366"/>
    </row>
    <row r="3272" spans="16:17" x14ac:dyDescent="0.25">
      <c r="P3272" s="220"/>
      <c r="Q3272" s="366"/>
    </row>
    <row r="3273" spans="16:17" x14ac:dyDescent="0.25">
      <c r="P3273" s="220"/>
      <c r="Q3273" s="366"/>
    </row>
    <row r="3274" spans="16:17" x14ac:dyDescent="0.25">
      <c r="P3274" s="220"/>
      <c r="Q3274" s="366"/>
    </row>
    <row r="3275" spans="16:17" x14ac:dyDescent="0.25">
      <c r="P3275" s="220"/>
      <c r="Q3275" s="366"/>
    </row>
    <row r="3276" spans="16:17" x14ac:dyDescent="0.25">
      <c r="P3276" s="220"/>
      <c r="Q3276" s="366"/>
    </row>
    <row r="3277" spans="16:17" x14ac:dyDescent="0.25">
      <c r="P3277" s="220"/>
      <c r="Q3277" s="366"/>
    </row>
    <row r="3278" spans="16:17" x14ac:dyDescent="0.25">
      <c r="P3278" s="220"/>
      <c r="Q3278" s="366"/>
    </row>
    <row r="3279" spans="16:17" x14ac:dyDescent="0.25">
      <c r="P3279" s="220"/>
      <c r="Q3279" s="366"/>
    </row>
    <row r="3280" spans="16:17" x14ac:dyDescent="0.25">
      <c r="P3280" s="220"/>
      <c r="Q3280" s="366"/>
    </row>
    <row r="3281" spans="16:17" x14ac:dyDescent="0.25">
      <c r="P3281" s="220"/>
      <c r="Q3281" s="366"/>
    </row>
    <row r="3282" spans="16:17" x14ac:dyDescent="0.25">
      <c r="P3282" s="220"/>
      <c r="Q3282" s="366"/>
    </row>
    <row r="3283" spans="16:17" x14ac:dyDescent="0.25">
      <c r="P3283" s="220"/>
      <c r="Q3283" s="366"/>
    </row>
    <row r="3284" spans="16:17" x14ac:dyDescent="0.25">
      <c r="P3284" s="220"/>
      <c r="Q3284" s="366"/>
    </row>
    <row r="3285" spans="16:17" x14ac:dyDescent="0.25">
      <c r="P3285" s="220"/>
      <c r="Q3285" s="366"/>
    </row>
    <row r="3286" spans="16:17" x14ac:dyDescent="0.25">
      <c r="P3286" s="220"/>
      <c r="Q3286" s="366"/>
    </row>
    <row r="3287" spans="16:17" x14ac:dyDescent="0.25">
      <c r="P3287" s="220"/>
      <c r="Q3287" s="366"/>
    </row>
    <row r="3288" spans="16:17" x14ac:dyDescent="0.25">
      <c r="P3288" s="220"/>
      <c r="Q3288" s="366"/>
    </row>
    <row r="3289" spans="16:17" x14ac:dyDescent="0.25">
      <c r="P3289" s="220"/>
      <c r="Q3289" s="366"/>
    </row>
    <row r="3290" spans="16:17" x14ac:dyDescent="0.25">
      <c r="P3290" s="220"/>
      <c r="Q3290" s="366"/>
    </row>
    <row r="3291" spans="16:17" x14ac:dyDescent="0.25">
      <c r="P3291" s="220"/>
      <c r="Q3291" s="366"/>
    </row>
    <row r="3292" spans="16:17" x14ac:dyDescent="0.25">
      <c r="P3292" s="220"/>
      <c r="Q3292" s="366"/>
    </row>
    <row r="3293" spans="16:17" x14ac:dyDescent="0.25">
      <c r="P3293" s="220"/>
      <c r="Q3293" s="366"/>
    </row>
    <row r="3294" spans="16:17" x14ac:dyDescent="0.25">
      <c r="P3294" s="220"/>
      <c r="Q3294" s="366"/>
    </row>
    <row r="3295" spans="16:17" x14ac:dyDescent="0.25">
      <c r="P3295" s="220"/>
      <c r="Q3295" s="366"/>
    </row>
    <row r="3296" spans="16:17" x14ac:dyDescent="0.25">
      <c r="P3296" s="220"/>
      <c r="Q3296" s="366"/>
    </row>
    <row r="3297" spans="16:17" x14ac:dyDescent="0.25">
      <c r="P3297" s="220"/>
      <c r="Q3297" s="366"/>
    </row>
    <row r="3298" spans="16:17" x14ac:dyDescent="0.25">
      <c r="P3298" s="220"/>
      <c r="Q3298" s="366"/>
    </row>
    <row r="3299" spans="16:17" x14ac:dyDescent="0.25">
      <c r="P3299" s="220"/>
      <c r="Q3299" s="366"/>
    </row>
    <row r="3300" spans="16:17" x14ac:dyDescent="0.25">
      <c r="P3300" s="220"/>
      <c r="Q3300" s="366"/>
    </row>
    <row r="3301" spans="16:17" x14ac:dyDescent="0.25">
      <c r="P3301" s="220"/>
      <c r="Q3301" s="366"/>
    </row>
    <row r="3302" spans="16:17" x14ac:dyDescent="0.25">
      <c r="P3302" s="220"/>
      <c r="Q3302" s="366"/>
    </row>
    <row r="3303" spans="16:17" x14ac:dyDescent="0.25">
      <c r="P3303" s="220"/>
      <c r="Q3303" s="366"/>
    </row>
    <row r="3304" spans="16:17" x14ac:dyDescent="0.25">
      <c r="P3304" s="220"/>
      <c r="Q3304" s="366"/>
    </row>
    <row r="3305" spans="16:17" x14ac:dyDescent="0.25">
      <c r="P3305" s="220"/>
      <c r="Q3305" s="366"/>
    </row>
    <row r="3306" spans="16:17" x14ac:dyDescent="0.25">
      <c r="P3306" s="220"/>
      <c r="Q3306" s="366"/>
    </row>
    <row r="3307" spans="16:17" x14ac:dyDescent="0.25">
      <c r="P3307" s="220"/>
      <c r="Q3307" s="366"/>
    </row>
    <row r="3308" spans="16:17" x14ac:dyDescent="0.25">
      <c r="P3308" s="220"/>
      <c r="Q3308" s="366"/>
    </row>
    <row r="3309" spans="16:17" x14ac:dyDescent="0.25">
      <c r="P3309" s="220"/>
      <c r="Q3309" s="366"/>
    </row>
    <row r="3310" spans="16:17" x14ac:dyDescent="0.25">
      <c r="P3310" s="220"/>
      <c r="Q3310" s="366"/>
    </row>
    <row r="3311" spans="16:17" x14ac:dyDescent="0.25">
      <c r="P3311" s="220"/>
      <c r="Q3311" s="366"/>
    </row>
    <row r="3312" spans="16:17" x14ac:dyDescent="0.25">
      <c r="P3312" s="220"/>
      <c r="Q3312" s="366"/>
    </row>
    <row r="3313" spans="16:17" x14ac:dyDescent="0.25">
      <c r="P3313" s="220"/>
      <c r="Q3313" s="366"/>
    </row>
    <row r="3314" spans="16:17" x14ac:dyDescent="0.25">
      <c r="P3314" s="220"/>
      <c r="Q3314" s="366"/>
    </row>
    <row r="3315" spans="16:17" x14ac:dyDescent="0.25">
      <c r="P3315" s="220"/>
      <c r="Q3315" s="366"/>
    </row>
    <row r="3316" spans="16:17" x14ac:dyDescent="0.25">
      <c r="P3316" s="220"/>
      <c r="Q3316" s="366"/>
    </row>
    <row r="3317" spans="16:17" x14ac:dyDescent="0.25">
      <c r="P3317" s="220"/>
      <c r="Q3317" s="366"/>
    </row>
    <row r="3318" spans="16:17" x14ac:dyDescent="0.25">
      <c r="P3318" s="220"/>
      <c r="Q3318" s="366"/>
    </row>
    <row r="3319" spans="16:17" x14ac:dyDescent="0.25">
      <c r="P3319" s="220"/>
      <c r="Q3319" s="366"/>
    </row>
    <row r="3320" spans="16:17" x14ac:dyDescent="0.25">
      <c r="P3320" s="220"/>
      <c r="Q3320" s="366"/>
    </row>
    <row r="3321" spans="16:17" x14ac:dyDescent="0.25">
      <c r="P3321" s="220"/>
      <c r="Q3321" s="366"/>
    </row>
    <row r="3322" spans="16:17" x14ac:dyDescent="0.25">
      <c r="P3322" s="220"/>
      <c r="Q3322" s="366"/>
    </row>
    <row r="3323" spans="16:17" x14ac:dyDescent="0.25">
      <c r="P3323" s="220"/>
      <c r="Q3323" s="366"/>
    </row>
    <row r="3324" spans="16:17" x14ac:dyDescent="0.25">
      <c r="P3324" s="220"/>
      <c r="Q3324" s="366"/>
    </row>
    <row r="3325" spans="16:17" x14ac:dyDescent="0.25">
      <c r="P3325" s="220"/>
      <c r="Q3325" s="366"/>
    </row>
    <row r="3326" spans="16:17" x14ac:dyDescent="0.25">
      <c r="P3326" s="220"/>
      <c r="Q3326" s="366"/>
    </row>
    <row r="3327" spans="16:17" x14ac:dyDescent="0.25">
      <c r="P3327" s="220"/>
      <c r="Q3327" s="366"/>
    </row>
    <row r="3328" spans="16:17" x14ac:dyDescent="0.25">
      <c r="P3328" s="220"/>
      <c r="Q3328" s="366"/>
    </row>
    <row r="3329" spans="16:17" x14ac:dyDescent="0.25">
      <c r="P3329" s="220"/>
      <c r="Q3329" s="366"/>
    </row>
    <row r="3330" spans="16:17" x14ac:dyDescent="0.25">
      <c r="P3330" s="220"/>
      <c r="Q3330" s="366"/>
    </row>
    <row r="3331" spans="16:17" x14ac:dyDescent="0.25">
      <c r="P3331" s="220"/>
      <c r="Q3331" s="366"/>
    </row>
    <row r="3332" spans="16:17" x14ac:dyDescent="0.25">
      <c r="P3332" s="220"/>
      <c r="Q3332" s="366"/>
    </row>
    <row r="3333" spans="16:17" x14ac:dyDescent="0.25">
      <c r="P3333" s="220"/>
      <c r="Q3333" s="366"/>
    </row>
    <row r="3334" spans="16:17" x14ac:dyDescent="0.25">
      <c r="P3334" s="220"/>
      <c r="Q3334" s="366"/>
    </row>
    <row r="3335" spans="16:17" x14ac:dyDescent="0.25">
      <c r="P3335" s="220"/>
      <c r="Q3335" s="366"/>
    </row>
    <row r="3336" spans="16:17" x14ac:dyDescent="0.25">
      <c r="P3336" s="220"/>
      <c r="Q3336" s="366"/>
    </row>
    <row r="3337" spans="16:17" x14ac:dyDescent="0.25">
      <c r="P3337" s="220"/>
      <c r="Q3337" s="366"/>
    </row>
    <row r="3338" spans="16:17" x14ac:dyDescent="0.25">
      <c r="P3338" s="220"/>
      <c r="Q3338" s="366"/>
    </row>
    <row r="3339" spans="16:17" x14ac:dyDescent="0.25">
      <c r="P3339" s="220"/>
      <c r="Q3339" s="366"/>
    </row>
    <row r="3340" spans="16:17" x14ac:dyDescent="0.25">
      <c r="P3340" s="220"/>
      <c r="Q3340" s="366"/>
    </row>
    <row r="3341" spans="16:17" x14ac:dyDescent="0.25">
      <c r="P3341" s="220"/>
      <c r="Q3341" s="366"/>
    </row>
    <row r="3342" spans="16:17" x14ac:dyDescent="0.25">
      <c r="P3342" s="220"/>
      <c r="Q3342" s="366"/>
    </row>
    <row r="3343" spans="16:17" x14ac:dyDescent="0.25">
      <c r="P3343" s="220"/>
      <c r="Q3343" s="366"/>
    </row>
    <row r="3344" spans="16:17" x14ac:dyDescent="0.25">
      <c r="P3344" s="220"/>
      <c r="Q3344" s="366"/>
    </row>
    <row r="3345" spans="16:17" x14ac:dyDescent="0.25">
      <c r="P3345" s="220"/>
      <c r="Q3345" s="366"/>
    </row>
    <row r="3346" spans="16:17" x14ac:dyDescent="0.25">
      <c r="P3346" s="220"/>
      <c r="Q3346" s="366"/>
    </row>
    <row r="3347" spans="16:17" x14ac:dyDescent="0.25">
      <c r="P3347" s="220"/>
      <c r="Q3347" s="366"/>
    </row>
    <row r="3348" spans="16:17" x14ac:dyDescent="0.25">
      <c r="P3348" s="220"/>
      <c r="Q3348" s="366"/>
    </row>
    <row r="3349" spans="16:17" x14ac:dyDescent="0.25">
      <c r="P3349" s="220"/>
      <c r="Q3349" s="366"/>
    </row>
    <row r="3350" spans="16:17" x14ac:dyDescent="0.25">
      <c r="P3350" s="220"/>
      <c r="Q3350" s="366"/>
    </row>
    <row r="3351" spans="16:17" x14ac:dyDescent="0.25">
      <c r="P3351" s="220"/>
      <c r="Q3351" s="366"/>
    </row>
    <row r="3352" spans="16:17" x14ac:dyDescent="0.25">
      <c r="P3352" s="220"/>
      <c r="Q3352" s="366"/>
    </row>
    <row r="3353" spans="16:17" x14ac:dyDescent="0.25">
      <c r="P3353" s="220"/>
      <c r="Q3353" s="366"/>
    </row>
    <row r="3354" spans="16:17" x14ac:dyDescent="0.25">
      <c r="P3354" s="220"/>
      <c r="Q3354" s="366"/>
    </row>
    <row r="3355" spans="16:17" x14ac:dyDescent="0.25">
      <c r="P3355" s="220"/>
      <c r="Q3355" s="366"/>
    </row>
    <row r="3356" spans="16:17" x14ac:dyDescent="0.25">
      <c r="P3356" s="220"/>
      <c r="Q3356" s="366"/>
    </row>
    <row r="3357" spans="16:17" x14ac:dyDescent="0.25">
      <c r="P3357" s="220"/>
      <c r="Q3357" s="366"/>
    </row>
    <row r="3358" spans="16:17" x14ac:dyDescent="0.25">
      <c r="P3358" s="220"/>
      <c r="Q3358" s="366"/>
    </row>
    <row r="3359" spans="16:17" x14ac:dyDescent="0.25">
      <c r="P3359" s="220"/>
      <c r="Q3359" s="366"/>
    </row>
    <row r="3360" spans="16:17" x14ac:dyDescent="0.25">
      <c r="P3360" s="220"/>
      <c r="Q3360" s="366"/>
    </row>
    <row r="3361" spans="16:17" x14ac:dyDescent="0.25">
      <c r="P3361" s="220"/>
      <c r="Q3361" s="366"/>
    </row>
    <row r="3362" spans="16:17" x14ac:dyDescent="0.25">
      <c r="P3362" s="220"/>
      <c r="Q3362" s="366"/>
    </row>
    <row r="3363" spans="16:17" x14ac:dyDescent="0.25">
      <c r="P3363" s="220"/>
      <c r="Q3363" s="366"/>
    </row>
    <row r="3364" spans="16:17" x14ac:dyDescent="0.25">
      <c r="P3364" s="220"/>
      <c r="Q3364" s="366"/>
    </row>
    <row r="3365" spans="16:17" x14ac:dyDescent="0.25">
      <c r="P3365" s="220"/>
      <c r="Q3365" s="366"/>
    </row>
    <row r="3366" spans="16:17" x14ac:dyDescent="0.25">
      <c r="P3366" s="220"/>
      <c r="Q3366" s="366"/>
    </row>
    <row r="3367" spans="16:17" x14ac:dyDescent="0.25">
      <c r="P3367" s="220"/>
      <c r="Q3367" s="366"/>
    </row>
    <row r="3368" spans="16:17" x14ac:dyDescent="0.25">
      <c r="P3368" s="220"/>
      <c r="Q3368" s="366"/>
    </row>
    <row r="3369" spans="16:17" x14ac:dyDescent="0.25">
      <c r="P3369" s="220"/>
      <c r="Q3369" s="366"/>
    </row>
    <row r="3370" spans="16:17" x14ac:dyDescent="0.25">
      <c r="P3370" s="220"/>
      <c r="Q3370" s="366"/>
    </row>
    <row r="3371" spans="16:17" x14ac:dyDescent="0.25">
      <c r="P3371" s="220"/>
      <c r="Q3371" s="366"/>
    </row>
    <row r="3372" spans="16:17" x14ac:dyDescent="0.25">
      <c r="P3372" s="220"/>
      <c r="Q3372" s="366"/>
    </row>
    <row r="3373" spans="16:17" x14ac:dyDescent="0.25">
      <c r="P3373" s="220"/>
      <c r="Q3373" s="366"/>
    </row>
    <row r="3374" spans="16:17" x14ac:dyDescent="0.25">
      <c r="P3374" s="220"/>
      <c r="Q3374" s="366"/>
    </row>
    <row r="3375" spans="16:17" x14ac:dyDescent="0.25">
      <c r="P3375" s="220"/>
      <c r="Q3375" s="366"/>
    </row>
    <row r="3376" spans="16:17" x14ac:dyDescent="0.25">
      <c r="P3376" s="220"/>
      <c r="Q3376" s="366"/>
    </row>
    <row r="3377" spans="16:17" x14ac:dyDescent="0.25">
      <c r="P3377" s="220"/>
      <c r="Q3377" s="366"/>
    </row>
    <row r="3378" spans="16:17" x14ac:dyDescent="0.25">
      <c r="P3378" s="220"/>
      <c r="Q3378" s="366"/>
    </row>
    <row r="3379" spans="16:17" x14ac:dyDescent="0.25">
      <c r="P3379" s="220"/>
      <c r="Q3379" s="366"/>
    </row>
    <row r="3380" spans="16:17" x14ac:dyDescent="0.25">
      <c r="P3380" s="220"/>
      <c r="Q3380" s="366"/>
    </row>
    <row r="3381" spans="16:17" x14ac:dyDescent="0.25">
      <c r="P3381" s="220"/>
      <c r="Q3381" s="366"/>
    </row>
    <row r="3382" spans="16:17" x14ac:dyDescent="0.25">
      <c r="P3382" s="220"/>
      <c r="Q3382" s="366"/>
    </row>
    <row r="3383" spans="16:17" x14ac:dyDescent="0.25">
      <c r="P3383" s="220"/>
      <c r="Q3383" s="366"/>
    </row>
    <row r="3384" spans="16:17" x14ac:dyDescent="0.25">
      <c r="P3384" s="220"/>
      <c r="Q3384" s="366"/>
    </row>
    <row r="3385" spans="16:17" x14ac:dyDescent="0.25">
      <c r="P3385" s="220"/>
      <c r="Q3385" s="366"/>
    </row>
    <row r="3386" spans="16:17" x14ac:dyDescent="0.25">
      <c r="P3386" s="220"/>
      <c r="Q3386" s="366"/>
    </row>
    <row r="3387" spans="16:17" x14ac:dyDescent="0.25">
      <c r="P3387" s="220"/>
      <c r="Q3387" s="366"/>
    </row>
    <row r="3388" spans="16:17" x14ac:dyDescent="0.25">
      <c r="P3388" s="220"/>
      <c r="Q3388" s="366"/>
    </row>
    <row r="3389" spans="16:17" x14ac:dyDescent="0.25">
      <c r="P3389" s="220"/>
      <c r="Q3389" s="366"/>
    </row>
    <row r="3390" spans="16:17" x14ac:dyDescent="0.25">
      <c r="P3390" s="220"/>
      <c r="Q3390" s="366"/>
    </row>
    <row r="3391" spans="16:17" x14ac:dyDescent="0.25">
      <c r="P3391" s="220"/>
      <c r="Q3391" s="366"/>
    </row>
    <row r="3392" spans="16:17" x14ac:dyDescent="0.25">
      <c r="P3392" s="220"/>
      <c r="Q3392" s="366"/>
    </row>
    <row r="3393" spans="16:17" x14ac:dyDescent="0.25">
      <c r="P3393" s="220"/>
      <c r="Q3393" s="366"/>
    </row>
    <row r="3394" spans="16:17" x14ac:dyDescent="0.25">
      <c r="P3394" s="220"/>
      <c r="Q3394" s="366"/>
    </row>
    <row r="3395" spans="16:17" x14ac:dyDescent="0.25">
      <c r="P3395" s="220"/>
      <c r="Q3395" s="366"/>
    </row>
    <row r="3396" spans="16:17" x14ac:dyDescent="0.25">
      <c r="P3396" s="220"/>
      <c r="Q3396" s="366"/>
    </row>
    <row r="3397" spans="16:17" x14ac:dyDescent="0.25">
      <c r="P3397" s="220"/>
      <c r="Q3397" s="366"/>
    </row>
    <row r="3398" spans="16:17" x14ac:dyDescent="0.25">
      <c r="P3398" s="220"/>
      <c r="Q3398" s="366"/>
    </row>
    <row r="3399" spans="16:17" x14ac:dyDescent="0.25">
      <c r="P3399" s="220"/>
      <c r="Q3399" s="366"/>
    </row>
    <row r="3400" spans="16:17" x14ac:dyDescent="0.25">
      <c r="P3400" s="220"/>
      <c r="Q3400" s="366"/>
    </row>
    <row r="3401" spans="16:17" x14ac:dyDescent="0.25">
      <c r="P3401" s="220"/>
      <c r="Q3401" s="366"/>
    </row>
    <row r="3402" spans="16:17" x14ac:dyDescent="0.25">
      <c r="P3402" s="220"/>
      <c r="Q3402" s="366"/>
    </row>
    <row r="3403" spans="16:17" x14ac:dyDescent="0.25">
      <c r="P3403" s="220"/>
      <c r="Q3403" s="366"/>
    </row>
    <row r="3404" spans="16:17" x14ac:dyDescent="0.25">
      <c r="P3404" s="220"/>
      <c r="Q3404" s="366"/>
    </row>
    <row r="3405" spans="16:17" x14ac:dyDescent="0.25">
      <c r="P3405" s="220"/>
      <c r="Q3405" s="366"/>
    </row>
    <row r="3406" spans="16:17" x14ac:dyDescent="0.25">
      <c r="P3406" s="220"/>
      <c r="Q3406" s="366"/>
    </row>
    <row r="3407" spans="16:17" x14ac:dyDescent="0.25">
      <c r="P3407" s="220"/>
      <c r="Q3407" s="366"/>
    </row>
    <row r="3408" spans="16:17" x14ac:dyDescent="0.25">
      <c r="P3408" s="220"/>
      <c r="Q3408" s="366"/>
    </row>
    <row r="3409" spans="16:17" x14ac:dyDescent="0.25">
      <c r="P3409" s="220"/>
      <c r="Q3409" s="366"/>
    </row>
    <row r="3410" spans="16:17" x14ac:dyDescent="0.25">
      <c r="P3410" s="220"/>
      <c r="Q3410" s="366"/>
    </row>
    <row r="3411" spans="16:17" x14ac:dyDescent="0.25">
      <c r="P3411" s="220"/>
      <c r="Q3411" s="366"/>
    </row>
    <row r="3412" spans="16:17" x14ac:dyDescent="0.25">
      <c r="P3412" s="220"/>
      <c r="Q3412" s="366"/>
    </row>
    <row r="3413" spans="16:17" x14ac:dyDescent="0.25">
      <c r="P3413" s="220"/>
      <c r="Q3413" s="366"/>
    </row>
    <row r="3414" spans="16:17" x14ac:dyDescent="0.25">
      <c r="P3414" s="220"/>
      <c r="Q3414" s="366"/>
    </row>
    <row r="3415" spans="16:17" x14ac:dyDescent="0.25">
      <c r="P3415" s="220"/>
      <c r="Q3415" s="366"/>
    </row>
    <row r="3416" spans="16:17" x14ac:dyDescent="0.25">
      <c r="P3416" s="220"/>
      <c r="Q3416" s="366"/>
    </row>
    <row r="3417" spans="16:17" x14ac:dyDescent="0.25">
      <c r="P3417" s="220"/>
      <c r="Q3417" s="366"/>
    </row>
    <row r="3418" spans="16:17" x14ac:dyDescent="0.25">
      <c r="P3418" s="220"/>
      <c r="Q3418" s="366"/>
    </row>
    <row r="3419" spans="16:17" x14ac:dyDescent="0.25">
      <c r="P3419" s="220"/>
      <c r="Q3419" s="366"/>
    </row>
    <row r="3420" spans="16:17" x14ac:dyDescent="0.25">
      <c r="P3420" s="220"/>
      <c r="Q3420" s="366"/>
    </row>
    <row r="3421" spans="16:17" x14ac:dyDescent="0.25">
      <c r="P3421" s="220"/>
      <c r="Q3421" s="366"/>
    </row>
    <row r="3422" spans="16:17" x14ac:dyDescent="0.25">
      <c r="P3422" s="220"/>
      <c r="Q3422" s="366"/>
    </row>
    <row r="3423" spans="16:17" x14ac:dyDescent="0.25">
      <c r="P3423" s="220"/>
      <c r="Q3423" s="366"/>
    </row>
    <row r="3424" spans="16:17" x14ac:dyDescent="0.25">
      <c r="P3424" s="220"/>
      <c r="Q3424" s="366"/>
    </row>
    <row r="3425" spans="16:17" x14ac:dyDescent="0.25">
      <c r="P3425" s="220"/>
      <c r="Q3425" s="366"/>
    </row>
    <row r="3426" spans="16:17" x14ac:dyDescent="0.25">
      <c r="P3426" s="220"/>
      <c r="Q3426" s="366"/>
    </row>
    <row r="3427" spans="16:17" x14ac:dyDescent="0.25">
      <c r="P3427" s="220"/>
      <c r="Q3427" s="366"/>
    </row>
    <row r="3428" spans="16:17" x14ac:dyDescent="0.25">
      <c r="P3428" s="220"/>
      <c r="Q3428" s="366"/>
    </row>
    <row r="3429" spans="16:17" x14ac:dyDescent="0.25">
      <c r="P3429" s="220"/>
      <c r="Q3429" s="366"/>
    </row>
    <row r="3430" spans="16:17" x14ac:dyDescent="0.25">
      <c r="P3430" s="220"/>
      <c r="Q3430" s="366"/>
    </row>
    <row r="3431" spans="16:17" x14ac:dyDescent="0.25">
      <c r="P3431" s="220"/>
      <c r="Q3431" s="366"/>
    </row>
    <row r="3432" spans="16:17" x14ac:dyDescent="0.25">
      <c r="P3432" s="220"/>
      <c r="Q3432" s="366"/>
    </row>
    <row r="3433" spans="16:17" x14ac:dyDescent="0.25">
      <c r="P3433" s="220"/>
      <c r="Q3433" s="366"/>
    </row>
    <row r="3434" spans="16:17" x14ac:dyDescent="0.25">
      <c r="P3434" s="220"/>
      <c r="Q3434" s="366"/>
    </row>
    <row r="3435" spans="16:17" x14ac:dyDescent="0.25">
      <c r="P3435" s="220"/>
      <c r="Q3435" s="366"/>
    </row>
    <row r="3436" spans="16:17" x14ac:dyDescent="0.25">
      <c r="P3436" s="220"/>
      <c r="Q3436" s="366"/>
    </row>
    <row r="3437" spans="16:17" x14ac:dyDescent="0.25">
      <c r="P3437" s="220"/>
      <c r="Q3437" s="366"/>
    </row>
    <row r="3438" spans="16:17" x14ac:dyDescent="0.25">
      <c r="P3438" s="220"/>
      <c r="Q3438" s="366"/>
    </row>
    <row r="3439" spans="16:17" x14ac:dyDescent="0.25">
      <c r="P3439" s="220"/>
      <c r="Q3439" s="366"/>
    </row>
    <row r="3440" spans="16:17" x14ac:dyDescent="0.25">
      <c r="P3440" s="220"/>
      <c r="Q3440" s="366"/>
    </row>
    <row r="3441" spans="16:17" x14ac:dyDescent="0.25">
      <c r="P3441" s="220"/>
      <c r="Q3441" s="366"/>
    </row>
    <row r="3442" spans="16:17" x14ac:dyDescent="0.25">
      <c r="P3442" s="220"/>
      <c r="Q3442" s="366"/>
    </row>
    <row r="3443" spans="16:17" x14ac:dyDescent="0.25">
      <c r="P3443" s="220"/>
      <c r="Q3443" s="366"/>
    </row>
    <row r="3444" spans="16:17" x14ac:dyDescent="0.25">
      <c r="P3444" s="220"/>
      <c r="Q3444" s="366"/>
    </row>
    <row r="3445" spans="16:17" x14ac:dyDescent="0.25">
      <c r="P3445" s="220"/>
      <c r="Q3445" s="366"/>
    </row>
    <row r="3446" spans="16:17" x14ac:dyDescent="0.25">
      <c r="P3446" s="220"/>
      <c r="Q3446" s="366"/>
    </row>
    <row r="3447" spans="16:17" x14ac:dyDescent="0.25">
      <c r="P3447" s="220"/>
      <c r="Q3447" s="366"/>
    </row>
    <row r="3448" spans="16:17" x14ac:dyDescent="0.25">
      <c r="P3448" s="220"/>
      <c r="Q3448" s="366"/>
    </row>
    <row r="3449" spans="16:17" x14ac:dyDescent="0.25">
      <c r="P3449" s="220"/>
      <c r="Q3449" s="366"/>
    </row>
    <row r="3450" spans="16:17" x14ac:dyDescent="0.25">
      <c r="P3450" s="220"/>
      <c r="Q3450" s="366"/>
    </row>
    <row r="3451" spans="16:17" x14ac:dyDescent="0.25">
      <c r="P3451" s="220"/>
      <c r="Q3451" s="366"/>
    </row>
    <row r="3452" spans="16:17" x14ac:dyDescent="0.25">
      <c r="P3452" s="220"/>
      <c r="Q3452" s="366"/>
    </row>
    <row r="3453" spans="16:17" x14ac:dyDescent="0.25">
      <c r="P3453" s="220"/>
      <c r="Q3453" s="366"/>
    </row>
    <row r="3454" spans="16:17" x14ac:dyDescent="0.25">
      <c r="P3454" s="220"/>
      <c r="Q3454" s="366"/>
    </row>
    <row r="3455" spans="16:17" x14ac:dyDescent="0.25">
      <c r="P3455" s="220"/>
      <c r="Q3455" s="366"/>
    </row>
    <row r="3456" spans="16:17" x14ac:dyDescent="0.25">
      <c r="P3456" s="220"/>
      <c r="Q3456" s="366"/>
    </row>
    <row r="3457" spans="16:17" x14ac:dyDescent="0.25">
      <c r="P3457" s="220"/>
      <c r="Q3457" s="366"/>
    </row>
    <row r="3458" spans="16:17" x14ac:dyDescent="0.25">
      <c r="P3458" s="220"/>
      <c r="Q3458" s="366"/>
    </row>
    <row r="3459" spans="16:17" x14ac:dyDescent="0.25">
      <c r="P3459" s="220"/>
      <c r="Q3459" s="366"/>
    </row>
    <row r="3460" spans="16:17" x14ac:dyDescent="0.25">
      <c r="P3460" s="220"/>
      <c r="Q3460" s="366"/>
    </row>
    <row r="3461" spans="16:17" x14ac:dyDescent="0.25">
      <c r="P3461" s="220"/>
      <c r="Q3461" s="366"/>
    </row>
    <row r="3462" spans="16:17" x14ac:dyDescent="0.25">
      <c r="P3462" s="220"/>
      <c r="Q3462" s="366"/>
    </row>
    <row r="3463" spans="16:17" x14ac:dyDescent="0.25">
      <c r="P3463" s="220"/>
      <c r="Q3463" s="366"/>
    </row>
    <row r="3464" spans="16:17" x14ac:dyDescent="0.25">
      <c r="P3464" s="220"/>
      <c r="Q3464" s="366"/>
    </row>
    <row r="3465" spans="16:17" x14ac:dyDescent="0.25">
      <c r="P3465" s="220"/>
      <c r="Q3465" s="366"/>
    </row>
    <row r="3466" spans="16:17" x14ac:dyDescent="0.25">
      <c r="P3466" s="220"/>
      <c r="Q3466" s="366"/>
    </row>
    <row r="3467" spans="16:17" x14ac:dyDescent="0.25">
      <c r="P3467" s="220"/>
      <c r="Q3467" s="366"/>
    </row>
    <row r="3468" spans="16:17" x14ac:dyDescent="0.25">
      <c r="P3468" s="220"/>
      <c r="Q3468" s="366"/>
    </row>
    <row r="3469" spans="16:17" x14ac:dyDescent="0.25">
      <c r="P3469" s="220"/>
      <c r="Q3469" s="366"/>
    </row>
    <row r="3470" spans="16:17" x14ac:dyDescent="0.25">
      <c r="P3470" s="220"/>
      <c r="Q3470" s="366"/>
    </row>
    <row r="3471" spans="16:17" x14ac:dyDescent="0.25">
      <c r="P3471" s="220"/>
      <c r="Q3471" s="366"/>
    </row>
    <row r="3472" spans="16:17" x14ac:dyDescent="0.25">
      <c r="P3472" s="220"/>
      <c r="Q3472" s="366"/>
    </row>
    <row r="3473" spans="16:17" x14ac:dyDescent="0.25">
      <c r="P3473" s="220"/>
      <c r="Q3473" s="366"/>
    </row>
    <row r="3474" spans="16:17" x14ac:dyDescent="0.25">
      <c r="P3474" s="220"/>
      <c r="Q3474" s="366"/>
    </row>
    <row r="3475" spans="16:17" x14ac:dyDescent="0.25">
      <c r="P3475" s="220"/>
      <c r="Q3475" s="366"/>
    </row>
    <row r="3476" spans="16:17" x14ac:dyDescent="0.25">
      <c r="P3476" s="220"/>
      <c r="Q3476" s="366"/>
    </row>
    <row r="3477" spans="16:17" x14ac:dyDescent="0.25">
      <c r="P3477" s="220"/>
      <c r="Q3477" s="366"/>
    </row>
    <row r="3478" spans="16:17" x14ac:dyDescent="0.25">
      <c r="P3478" s="220"/>
      <c r="Q3478" s="366"/>
    </row>
    <row r="3479" spans="16:17" x14ac:dyDescent="0.25">
      <c r="P3479" s="220"/>
      <c r="Q3479" s="366"/>
    </row>
    <row r="3480" spans="16:17" x14ac:dyDescent="0.25">
      <c r="P3480" s="220"/>
      <c r="Q3480" s="366"/>
    </row>
    <row r="3481" spans="16:17" x14ac:dyDescent="0.25">
      <c r="P3481" s="220"/>
      <c r="Q3481" s="366"/>
    </row>
    <row r="3482" spans="16:17" x14ac:dyDescent="0.25">
      <c r="P3482" s="220"/>
      <c r="Q3482" s="366"/>
    </row>
    <row r="3483" spans="16:17" x14ac:dyDescent="0.25">
      <c r="P3483" s="220"/>
      <c r="Q3483" s="366"/>
    </row>
    <row r="3484" spans="16:17" x14ac:dyDescent="0.25">
      <c r="P3484" s="220"/>
      <c r="Q3484" s="366"/>
    </row>
    <row r="3485" spans="16:17" x14ac:dyDescent="0.25">
      <c r="P3485" s="220"/>
      <c r="Q3485" s="366"/>
    </row>
    <row r="3486" spans="16:17" x14ac:dyDescent="0.25">
      <c r="P3486" s="220"/>
      <c r="Q3486" s="366"/>
    </row>
    <row r="3487" spans="16:17" x14ac:dyDescent="0.25">
      <c r="P3487" s="220"/>
      <c r="Q3487" s="366"/>
    </row>
    <row r="3488" spans="16:17" x14ac:dyDescent="0.25">
      <c r="P3488" s="220"/>
      <c r="Q3488" s="366"/>
    </row>
    <row r="3489" spans="16:17" x14ac:dyDescent="0.25">
      <c r="P3489" s="220"/>
      <c r="Q3489" s="366"/>
    </row>
    <row r="3490" spans="16:17" x14ac:dyDescent="0.25">
      <c r="P3490" s="220"/>
      <c r="Q3490" s="366"/>
    </row>
    <row r="3491" spans="16:17" x14ac:dyDescent="0.25">
      <c r="P3491" s="220"/>
      <c r="Q3491" s="366"/>
    </row>
    <row r="3492" spans="16:17" x14ac:dyDescent="0.25">
      <c r="P3492" s="220"/>
      <c r="Q3492" s="366"/>
    </row>
    <row r="3493" spans="16:17" x14ac:dyDescent="0.25">
      <c r="P3493" s="220"/>
      <c r="Q3493" s="366"/>
    </row>
    <row r="3494" spans="16:17" x14ac:dyDescent="0.25">
      <c r="P3494" s="220"/>
      <c r="Q3494" s="366"/>
    </row>
    <row r="3495" spans="16:17" x14ac:dyDescent="0.25">
      <c r="P3495" s="220"/>
      <c r="Q3495" s="366"/>
    </row>
    <row r="3496" spans="16:17" x14ac:dyDescent="0.25">
      <c r="P3496" s="220"/>
      <c r="Q3496" s="366"/>
    </row>
    <row r="3497" spans="16:17" x14ac:dyDescent="0.25">
      <c r="P3497" s="220"/>
      <c r="Q3497" s="366"/>
    </row>
    <row r="3498" spans="16:17" x14ac:dyDescent="0.25">
      <c r="P3498" s="220"/>
      <c r="Q3498" s="366"/>
    </row>
    <row r="3499" spans="16:17" x14ac:dyDescent="0.25">
      <c r="P3499" s="220"/>
      <c r="Q3499" s="366"/>
    </row>
    <row r="3500" spans="16:17" x14ac:dyDescent="0.25">
      <c r="P3500" s="220"/>
      <c r="Q3500" s="366"/>
    </row>
    <row r="3501" spans="16:17" x14ac:dyDescent="0.25">
      <c r="P3501" s="220"/>
      <c r="Q3501" s="366"/>
    </row>
    <row r="3502" spans="16:17" x14ac:dyDescent="0.25">
      <c r="P3502" s="220"/>
      <c r="Q3502" s="366"/>
    </row>
    <row r="3503" spans="16:17" x14ac:dyDescent="0.25">
      <c r="P3503" s="220"/>
      <c r="Q3503" s="366"/>
    </row>
    <row r="3504" spans="16:17" x14ac:dyDescent="0.25">
      <c r="P3504" s="220"/>
      <c r="Q3504" s="366"/>
    </row>
    <row r="3505" spans="16:17" x14ac:dyDescent="0.25">
      <c r="P3505" s="220"/>
      <c r="Q3505" s="366"/>
    </row>
    <row r="3506" spans="16:17" x14ac:dyDescent="0.25">
      <c r="P3506" s="220"/>
      <c r="Q3506" s="366"/>
    </row>
    <row r="3507" spans="16:17" x14ac:dyDescent="0.25">
      <c r="P3507" s="220"/>
      <c r="Q3507" s="366"/>
    </row>
    <row r="3508" spans="16:17" x14ac:dyDescent="0.25">
      <c r="P3508" s="220"/>
      <c r="Q3508" s="366"/>
    </row>
    <row r="3509" spans="16:17" x14ac:dyDescent="0.25">
      <c r="P3509" s="220"/>
      <c r="Q3509" s="366"/>
    </row>
    <row r="3510" spans="16:17" x14ac:dyDescent="0.25">
      <c r="P3510" s="220"/>
      <c r="Q3510" s="366"/>
    </row>
    <row r="3511" spans="16:17" x14ac:dyDescent="0.25">
      <c r="P3511" s="220"/>
      <c r="Q3511" s="366"/>
    </row>
    <row r="3512" spans="16:17" x14ac:dyDescent="0.25">
      <c r="P3512" s="220"/>
      <c r="Q3512" s="366"/>
    </row>
    <row r="3513" spans="16:17" x14ac:dyDescent="0.25">
      <c r="P3513" s="220"/>
      <c r="Q3513" s="366"/>
    </row>
    <row r="3514" spans="16:17" x14ac:dyDescent="0.25">
      <c r="P3514" s="220"/>
      <c r="Q3514" s="366"/>
    </row>
    <row r="3515" spans="16:17" x14ac:dyDescent="0.25">
      <c r="P3515" s="220"/>
      <c r="Q3515" s="366"/>
    </row>
    <row r="3516" spans="16:17" x14ac:dyDescent="0.25">
      <c r="P3516" s="220"/>
      <c r="Q3516" s="366"/>
    </row>
    <row r="3517" spans="16:17" x14ac:dyDescent="0.25">
      <c r="P3517" s="220"/>
      <c r="Q3517" s="366"/>
    </row>
    <row r="3518" spans="16:17" x14ac:dyDescent="0.25">
      <c r="P3518" s="220"/>
      <c r="Q3518" s="366"/>
    </row>
    <row r="3519" spans="16:17" x14ac:dyDescent="0.25">
      <c r="P3519" s="220"/>
      <c r="Q3519" s="366"/>
    </row>
    <row r="3520" spans="16:17" x14ac:dyDescent="0.25">
      <c r="P3520" s="220"/>
      <c r="Q3520" s="366"/>
    </row>
    <row r="3521" spans="16:17" x14ac:dyDescent="0.25">
      <c r="P3521" s="220"/>
      <c r="Q3521" s="366"/>
    </row>
    <row r="3522" spans="16:17" x14ac:dyDescent="0.25">
      <c r="P3522" s="220"/>
      <c r="Q3522" s="366"/>
    </row>
    <row r="3523" spans="16:17" x14ac:dyDescent="0.25">
      <c r="P3523" s="220"/>
      <c r="Q3523" s="366"/>
    </row>
    <row r="3524" spans="16:17" x14ac:dyDescent="0.25">
      <c r="P3524" s="220"/>
      <c r="Q3524" s="366"/>
    </row>
    <row r="3525" spans="16:17" x14ac:dyDescent="0.25">
      <c r="P3525" s="220"/>
      <c r="Q3525" s="366"/>
    </row>
    <row r="3526" spans="16:17" x14ac:dyDescent="0.25">
      <c r="P3526" s="220"/>
      <c r="Q3526" s="366"/>
    </row>
    <row r="3527" spans="16:17" x14ac:dyDescent="0.25">
      <c r="P3527" s="220"/>
      <c r="Q3527" s="366"/>
    </row>
    <row r="3528" spans="16:17" x14ac:dyDescent="0.25">
      <c r="P3528" s="220"/>
      <c r="Q3528" s="366"/>
    </row>
    <row r="3529" spans="16:17" x14ac:dyDescent="0.25">
      <c r="P3529" s="220"/>
      <c r="Q3529" s="366"/>
    </row>
    <row r="3530" spans="16:17" x14ac:dyDescent="0.25">
      <c r="P3530" s="220"/>
      <c r="Q3530" s="366"/>
    </row>
    <row r="3531" spans="16:17" x14ac:dyDescent="0.25">
      <c r="P3531" s="220"/>
      <c r="Q3531" s="366"/>
    </row>
    <row r="3532" spans="16:17" x14ac:dyDescent="0.25">
      <c r="P3532" s="220"/>
      <c r="Q3532" s="366"/>
    </row>
    <row r="3533" spans="16:17" x14ac:dyDescent="0.25">
      <c r="P3533" s="220"/>
      <c r="Q3533" s="366"/>
    </row>
    <row r="3534" spans="16:17" x14ac:dyDescent="0.25">
      <c r="P3534" s="220"/>
      <c r="Q3534" s="366"/>
    </row>
    <row r="3535" spans="16:17" x14ac:dyDescent="0.25">
      <c r="P3535" s="220"/>
      <c r="Q3535" s="366"/>
    </row>
    <row r="3536" spans="16:17" x14ac:dyDescent="0.25">
      <c r="P3536" s="220"/>
      <c r="Q3536" s="366"/>
    </row>
    <row r="3537" spans="16:17" x14ac:dyDescent="0.25">
      <c r="P3537" s="220"/>
      <c r="Q3537" s="366"/>
    </row>
    <row r="3538" spans="16:17" x14ac:dyDescent="0.25">
      <c r="P3538" s="220"/>
      <c r="Q3538" s="366"/>
    </row>
    <row r="3539" spans="16:17" x14ac:dyDescent="0.25">
      <c r="P3539" s="220"/>
      <c r="Q3539" s="366"/>
    </row>
    <row r="3540" spans="16:17" x14ac:dyDescent="0.25">
      <c r="P3540" s="220"/>
      <c r="Q3540" s="366"/>
    </row>
    <row r="3541" spans="16:17" x14ac:dyDescent="0.25">
      <c r="P3541" s="220"/>
      <c r="Q3541" s="366"/>
    </row>
    <row r="3542" spans="16:17" x14ac:dyDescent="0.25">
      <c r="P3542" s="220"/>
      <c r="Q3542" s="366"/>
    </row>
    <row r="3543" spans="16:17" x14ac:dyDescent="0.25">
      <c r="P3543" s="220"/>
      <c r="Q3543" s="366"/>
    </row>
    <row r="3544" spans="16:17" x14ac:dyDescent="0.25">
      <c r="P3544" s="220"/>
      <c r="Q3544" s="366"/>
    </row>
    <row r="3545" spans="16:17" x14ac:dyDescent="0.25">
      <c r="P3545" s="220"/>
      <c r="Q3545" s="366"/>
    </row>
    <row r="3546" spans="16:17" x14ac:dyDescent="0.25">
      <c r="P3546" s="220"/>
      <c r="Q3546" s="366"/>
    </row>
    <row r="3547" spans="16:17" x14ac:dyDescent="0.25">
      <c r="P3547" s="220"/>
      <c r="Q3547" s="366"/>
    </row>
    <row r="3548" spans="16:17" x14ac:dyDescent="0.25">
      <c r="P3548" s="220"/>
      <c r="Q3548" s="366"/>
    </row>
    <row r="3549" spans="16:17" x14ac:dyDescent="0.25">
      <c r="P3549" s="220"/>
      <c r="Q3549" s="366"/>
    </row>
    <row r="3550" spans="16:17" x14ac:dyDescent="0.25">
      <c r="P3550" s="220"/>
      <c r="Q3550" s="366"/>
    </row>
    <row r="3551" spans="16:17" x14ac:dyDescent="0.25">
      <c r="P3551" s="220"/>
      <c r="Q3551" s="366"/>
    </row>
    <row r="3552" spans="16:17" x14ac:dyDescent="0.25">
      <c r="P3552" s="220"/>
      <c r="Q3552" s="366"/>
    </row>
    <row r="3553" spans="16:17" x14ac:dyDescent="0.25">
      <c r="P3553" s="220"/>
      <c r="Q3553" s="366"/>
    </row>
    <row r="3554" spans="16:17" x14ac:dyDescent="0.25">
      <c r="P3554" s="220"/>
      <c r="Q3554" s="366"/>
    </row>
    <row r="3555" spans="16:17" x14ac:dyDescent="0.25">
      <c r="P3555" s="220"/>
      <c r="Q3555" s="366"/>
    </row>
    <row r="3556" spans="16:17" x14ac:dyDescent="0.25">
      <c r="P3556" s="220"/>
      <c r="Q3556" s="366"/>
    </row>
    <row r="3557" spans="16:17" x14ac:dyDescent="0.25">
      <c r="P3557" s="220"/>
      <c r="Q3557" s="366"/>
    </row>
    <row r="3558" spans="16:17" x14ac:dyDescent="0.25">
      <c r="P3558" s="220"/>
      <c r="Q3558" s="366"/>
    </row>
    <row r="3559" spans="16:17" x14ac:dyDescent="0.25">
      <c r="P3559" s="220"/>
      <c r="Q3559" s="366"/>
    </row>
    <row r="3560" spans="16:17" x14ac:dyDescent="0.25">
      <c r="P3560" s="220"/>
      <c r="Q3560" s="366"/>
    </row>
    <row r="3561" spans="16:17" x14ac:dyDescent="0.25">
      <c r="P3561" s="220"/>
      <c r="Q3561" s="366"/>
    </row>
    <row r="3562" spans="16:17" x14ac:dyDescent="0.25">
      <c r="P3562" s="220"/>
      <c r="Q3562" s="366"/>
    </row>
    <row r="3563" spans="16:17" x14ac:dyDescent="0.25">
      <c r="P3563" s="220"/>
      <c r="Q3563" s="366"/>
    </row>
    <row r="3564" spans="16:17" x14ac:dyDescent="0.25">
      <c r="P3564" s="220"/>
      <c r="Q3564" s="366"/>
    </row>
    <row r="3565" spans="16:17" x14ac:dyDescent="0.25">
      <c r="P3565" s="220"/>
      <c r="Q3565" s="366"/>
    </row>
    <row r="3566" spans="16:17" x14ac:dyDescent="0.25">
      <c r="P3566" s="220"/>
      <c r="Q3566" s="366"/>
    </row>
    <row r="3567" spans="16:17" x14ac:dyDescent="0.25">
      <c r="P3567" s="220"/>
      <c r="Q3567" s="366"/>
    </row>
    <row r="3568" spans="16:17" x14ac:dyDescent="0.25">
      <c r="P3568" s="220"/>
      <c r="Q3568" s="366"/>
    </row>
    <row r="3569" spans="16:17" x14ac:dyDescent="0.25">
      <c r="P3569" s="220"/>
      <c r="Q3569" s="366"/>
    </row>
    <row r="3570" spans="16:17" x14ac:dyDescent="0.25">
      <c r="P3570" s="220"/>
      <c r="Q3570" s="366"/>
    </row>
    <row r="3571" spans="16:17" x14ac:dyDescent="0.25">
      <c r="P3571" s="220"/>
      <c r="Q3571" s="366"/>
    </row>
    <row r="3572" spans="16:17" x14ac:dyDescent="0.25">
      <c r="P3572" s="220"/>
      <c r="Q3572" s="366"/>
    </row>
    <row r="3573" spans="16:17" x14ac:dyDescent="0.25">
      <c r="P3573" s="220"/>
      <c r="Q3573" s="366"/>
    </row>
    <row r="3574" spans="16:17" x14ac:dyDescent="0.25">
      <c r="P3574" s="220"/>
      <c r="Q3574" s="366"/>
    </row>
    <row r="3575" spans="16:17" x14ac:dyDescent="0.25">
      <c r="P3575" s="220"/>
      <c r="Q3575" s="366"/>
    </row>
    <row r="3576" spans="16:17" x14ac:dyDescent="0.25">
      <c r="P3576" s="220"/>
      <c r="Q3576" s="366"/>
    </row>
    <row r="3577" spans="16:17" x14ac:dyDescent="0.25">
      <c r="P3577" s="220"/>
      <c r="Q3577" s="366"/>
    </row>
    <row r="3578" spans="16:17" x14ac:dyDescent="0.25">
      <c r="P3578" s="220"/>
      <c r="Q3578" s="366"/>
    </row>
    <row r="3579" spans="16:17" x14ac:dyDescent="0.25">
      <c r="P3579" s="220"/>
      <c r="Q3579" s="366"/>
    </row>
    <row r="3580" spans="16:17" x14ac:dyDescent="0.25">
      <c r="P3580" s="220"/>
      <c r="Q3580" s="366"/>
    </row>
    <row r="3581" spans="16:17" x14ac:dyDescent="0.25">
      <c r="P3581" s="220"/>
      <c r="Q3581" s="366"/>
    </row>
    <row r="3582" spans="16:17" x14ac:dyDescent="0.25">
      <c r="P3582" s="220"/>
      <c r="Q3582" s="366"/>
    </row>
    <row r="3583" spans="16:17" x14ac:dyDescent="0.25">
      <c r="P3583" s="220"/>
      <c r="Q3583" s="366"/>
    </row>
    <row r="3584" spans="16:17" x14ac:dyDescent="0.25">
      <c r="P3584" s="220"/>
      <c r="Q3584" s="366"/>
    </row>
    <row r="3585" spans="16:17" x14ac:dyDescent="0.25">
      <c r="P3585" s="220"/>
      <c r="Q3585" s="366"/>
    </row>
    <row r="3586" spans="16:17" x14ac:dyDescent="0.25">
      <c r="P3586" s="220"/>
      <c r="Q3586" s="366"/>
    </row>
    <row r="3587" spans="16:17" x14ac:dyDescent="0.25">
      <c r="P3587" s="220"/>
      <c r="Q3587" s="366"/>
    </row>
    <row r="3588" spans="16:17" x14ac:dyDescent="0.25">
      <c r="P3588" s="220"/>
      <c r="Q3588" s="366"/>
    </row>
    <row r="3589" spans="16:17" x14ac:dyDescent="0.25">
      <c r="P3589" s="220"/>
      <c r="Q3589" s="366"/>
    </row>
    <row r="3590" spans="16:17" x14ac:dyDescent="0.25">
      <c r="P3590" s="220"/>
      <c r="Q3590" s="366"/>
    </row>
    <row r="3591" spans="16:17" x14ac:dyDescent="0.25">
      <c r="P3591" s="220"/>
      <c r="Q3591" s="366"/>
    </row>
    <row r="3592" spans="16:17" x14ac:dyDescent="0.25">
      <c r="P3592" s="220"/>
      <c r="Q3592" s="366"/>
    </row>
    <row r="3593" spans="16:17" x14ac:dyDescent="0.25">
      <c r="P3593" s="220"/>
      <c r="Q3593" s="366"/>
    </row>
    <row r="3594" spans="16:17" x14ac:dyDescent="0.25">
      <c r="P3594" s="220"/>
      <c r="Q3594" s="366"/>
    </row>
    <row r="3595" spans="16:17" x14ac:dyDescent="0.25">
      <c r="P3595" s="220"/>
      <c r="Q3595" s="366"/>
    </row>
    <row r="3596" spans="16:17" x14ac:dyDescent="0.25">
      <c r="P3596" s="220"/>
      <c r="Q3596" s="366"/>
    </row>
    <row r="3597" spans="16:17" x14ac:dyDescent="0.25">
      <c r="P3597" s="220"/>
      <c r="Q3597" s="366"/>
    </row>
    <row r="3598" spans="16:17" x14ac:dyDescent="0.25">
      <c r="P3598" s="220"/>
      <c r="Q3598" s="366"/>
    </row>
    <row r="3599" spans="16:17" x14ac:dyDescent="0.25">
      <c r="P3599" s="220"/>
      <c r="Q3599" s="366"/>
    </row>
    <row r="3600" spans="16:17" x14ac:dyDescent="0.25">
      <c r="P3600" s="220"/>
      <c r="Q3600" s="366"/>
    </row>
    <row r="3601" spans="16:17" x14ac:dyDescent="0.25">
      <c r="P3601" s="220"/>
      <c r="Q3601" s="366"/>
    </row>
    <row r="3602" spans="16:17" x14ac:dyDescent="0.25">
      <c r="P3602" s="220"/>
      <c r="Q3602" s="366"/>
    </row>
    <row r="3603" spans="16:17" x14ac:dyDescent="0.25">
      <c r="P3603" s="220"/>
      <c r="Q3603" s="366"/>
    </row>
    <row r="3604" spans="16:17" x14ac:dyDescent="0.25">
      <c r="P3604" s="220"/>
      <c r="Q3604" s="366"/>
    </row>
    <row r="3605" spans="16:17" x14ac:dyDescent="0.25">
      <c r="P3605" s="220"/>
      <c r="Q3605" s="366"/>
    </row>
    <row r="3606" spans="16:17" x14ac:dyDescent="0.25">
      <c r="P3606" s="220"/>
      <c r="Q3606" s="366"/>
    </row>
    <row r="3607" spans="16:17" x14ac:dyDescent="0.25">
      <c r="P3607" s="220"/>
      <c r="Q3607" s="366"/>
    </row>
    <row r="3608" spans="16:17" x14ac:dyDescent="0.25">
      <c r="P3608" s="220"/>
      <c r="Q3608" s="366"/>
    </row>
    <row r="3609" spans="16:17" x14ac:dyDescent="0.25">
      <c r="P3609" s="220"/>
      <c r="Q3609" s="366"/>
    </row>
    <row r="3610" spans="16:17" x14ac:dyDescent="0.25">
      <c r="P3610" s="220"/>
      <c r="Q3610" s="366"/>
    </row>
    <row r="3611" spans="16:17" x14ac:dyDescent="0.25">
      <c r="P3611" s="220"/>
      <c r="Q3611" s="366"/>
    </row>
    <row r="3612" spans="16:17" x14ac:dyDescent="0.25">
      <c r="P3612" s="220"/>
      <c r="Q3612" s="366"/>
    </row>
    <row r="3613" spans="16:17" x14ac:dyDescent="0.25">
      <c r="P3613" s="220"/>
      <c r="Q3613" s="366"/>
    </row>
    <row r="3614" spans="16:17" x14ac:dyDescent="0.25">
      <c r="P3614" s="220"/>
      <c r="Q3614" s="366"/>
    </row>
    <row r="3615" spans="16:17" x14ac:dyDescent="0.25">
      <c r="P3615" s="220"/>
      <c r="Q3615" s="366"/>
    </row>
    <row r="3616" spans="16:17" x14ac:dyDescent="0.25">
      <c r="P3616" s="220"/>
      <c r="Q3616" s="366"/>
    </row>
    <row r="3617" spans="16:17" x14ac:dyDescent="0.25">
      <c r="P3617" s="220"/>
      <c r="Q3617" s="366"/>
    </row>
    <row r="3618" spans="16:17" x14ac:dyDescent="0.25">
      <c r="P3618" s="220"/>
      <c r="Q3618" s="366"/>
    </row>
    <row r="3619" spans="16:17" x14ac:dyDescent="0.25">
      <c r="P3619" s="220"/>
      <c r="Q3619" s="366"/>
    </row>
    <row r="3620" spans="16:17" x14ac:dyDescent="0.25">
      <c r="P3620" s="220"/>
      <c r="Q3620" s="366"/>
    </row>
    <row r="3621" spans="16:17" x14ac:dyDescent="0.25">
      <c r="P3621" s="220"/>
      <c r="Q3621" s="366"/>
    </row>
    <row r="3622" spans="16:17" x14ac:dyDescent="0.25">
      <c r="P3622" s="220"/>
      <c r="Q3622" s="366"/>
    </row>
    <row r="3623" spans="16:17" x14ac:dyDescent="0.25">
      <c r="P3623" s="220"/>
      <c r="Q3623" s="366"/>
    </row>
    <row r="3624" spans="16:17" x14ac:dyDescent="0.25">
      <c r="P3624" s="220"/>
      <c r="Q3624" s="366"/>
    </row>
    <row r="3625" spans="16:17" x14ac:dyDescent="0.25">
      <c r="P3625" s="220"/>
      <c r="Q3625" s="366"/>
    </row>
    <row r="3626" spans="16:17" x14ac:dyDescent="0.25">
      <c r="P3626" s="220"/>
      <c r="Q3626" s="366"/>
    </row>
    <row r="3627" spans="16:17" x14ac:dyDescent="0.25">
      <c r="P3627" s="220"/>
      <c r="Q3627" s="366"/>
    </row>
    <row r="3628" spans="16:17" x14ac:dyDescent="0.25">
      <c r="P3628" s="220"/>
      <c r="Q3628" s="366"/>
    </row>
    <row r="3629" spans="16:17" x14ac:dyDescent="0.25">
      <c r="P3629" s="220"/>
      <c r="Q3629" s="366"/>
    </row>
    <row r="3630" spans="16:17" x14ac:dyDescent="0.25">
      <c r="P3630" s="220"/>
      <c r="Q3630" s="366"/>
    </row>
    <row r="3631" spans="16:17" x14ac:dyDescent="0.25">
      <c r="P3631" s="220"/>
      <c r="Q3631" s="366"/>
    </row>
    <row r="3632" spans="16:17" x14ac:dyDescent="0.25">
      <c r="P3632" s="220"/>
      <c r="Q3632" s="366"/>
    </row>
    <row r="3633" spans="16:17" x14ac:dyDescent="0.25">
      <c r="P3633" s="220"/>
      <c r="Q3633" s="366"/>
    </row>
    <row r="3634" spans="16:17" x14ac:dyDescent="0.25">
      <c r="P3634" s="220"/>
      <c r="Q3634" s="366"/>
    </row>
    <row r="3635" spans="16:17" x14ac:dyDescent="0.25">
      <c r="P3635" s="220"/>
      <c r="Q3635" s="366"/>
    </row>
    <row r="3636" spans="16:17" x14ac:dyDescent="0.25">
      <c r="P3636" s="220"/>
      <c r="Q3636" s="366"/>
    </row>
    <row r="3637" spans="16:17" x14ac:dyDescent="0.25">
      <c r="P3637" s="220"/>
      <c r="Q3637" s="366"/>
    </row>
    <row r="3638" spans="16:17" x14ac:dyDescent="0.25">
      <c r="P3638" s="220"/>
      <c r="Q3638" s="366"/>
    </row>
    <row r="3639" spans="16:17" x14ac:dyDescent="0.25">
      <c r="P3639" s="220"/>
      <c r="Q3639" s="366"/>
    </row>
    <row r="3640" spans="16:17" x14ac:dyDescent="0.25">
      <c r="P3640" s="220"/>
      <c r="Q3640" s="366"/>
    </row>
    <row r="3641" spans="16:17" x14ac:dyDescent="0.25">
      <c r="P3641" s="220"/>
      <c r="Q3641" s="366"/>
    </row>
    <row r="3642" spans="16:17" x14ac:dyDescent="0.25">
      <c r="P3642" s="220"/>
      <c r="Q3642" s="366"/>
    </row>
    <row r="3643" spans="16:17" x14ac:dyDescent="0.25">
      <c r="P3643" s="220"/>
      <c r="Q3643" s="366"/>
    </row>
    <row r="3644" spans="16:17" x14ac:dyDescent="0.25">
      <c r="P3644" s="220"/>
      <c r="Q3644" s="366"/>
    </row>
    <row r="3645" spans="16:17" x14ac:dyDescent="0.25">
      <c r="P3645" s="220"/>
      <c r="Q3645" s="366"/>
    </row>
    <row r="3646" spans="16:17" x14ac:dyDescent="0.25">
      <c r="P3646" s="220"/>
      <c r="Q3646" s="366"/>
    </row>
    <row r="3647" spans="16:17" x14ac:dyDescent="0.25">
      <c r="P3647" s="220"/>
      <c r="Q3647" s="366"/>
    </row>
    <row r="3648" spans="16:17" x14ac:dyDescent="0.25">
      <c r="P3648" s="220"/>
      <c r="Q3648" s="366"/>
    </row>
    <row r="3649" spans="16:17" x14ac:dyDescent="0.25">
      <c r="P3649" s="220"/>
      <c r="Q3649" s="366"/>
    </row>
    <row r="3650" spans="16:17" x14ac:dyDescent="0.25">
      <c r="P3650" s="220"/>
      <c r="Q3650" s="366"/>
    </row>
    <row r="3651" spans="16:17" x14ac:dyDescent="0.25">
      <c r="P3651" s="220"/>
      <c r="Q3651" s="366"/>
    </row>
    <row r="3652" spans="16:17" x14ac:dyDescent="0.25">
      <c r="P3652" s="220"/>
      <c r="Q3652" s="366"/>
    </row>
    <row r="3653" spans="16:17" x14ac:dyDescent="0.25">
      <c r="P3653" s="220"/>
      <c r="Q3653" s="366"/>
    </row>
    <row r="3654" spans="16:17" x14ac:dyDescent="0.25">
      <c r="P3654" s="220"/>
      <c r="Q3654" s="366"/>
    </row>
    <row r="3655" spans="16:17" x14ac:dyDescent="0.25">
      <c r="P3655" s="220"/>
      <c r="Q3655" s="366"/>
    </row>
    <row r="3656" spans="16:17" x14ac:dyDescent="0.25">
      <c r="P3656" s="220"/>
      <c r="Q3656" s="366"/>
    </row>
    <row r="3657" spans="16:17" x14ac:dyDescent="0.25">
      <c r="P3657" s="220"/>
      <c r="Q3657" s="366"/>
    </row>
    <row r="3658" spans="16:17" x14ac:dyDescent="0.25">
      <c r="P3658" s="220"/>
      <c r="Q3658" s="366"/>
    </row>
    <row r="3659" spans="16:17" x14ac:dyDescent="0.25">
      <c r="P3659" s="220"/>
      <c r="Q3659" s="366"/>
    </row>
    <row r="3660" spans="16:17" x14ac:dyDescent="0.25">
      <c r="P3660" s="220"/>
      <c r="Q3660" s="366"/>
    </row>
    <row r="3661" spans="16:17" x14ac:dyDescent="0.25">
      <c r="P3661" s="220"/>
      <c r="Q3661" s="366"/>
    </row>
    <row r="3662" spans="16:17" x14ac:dyDescent="0.25">
      <c r="P3662" s="220"/>
      <c r="Q3662" s="366"/>
    </row>
    <row r="3663" spans="16:17" x14ac:dyDescent="0.25">
      <c r="P3663" s="220"/>
      <c r="Q3663" s="366"/>
    </row>
    <row r="3664" spans="16:17" x14ac:dyDescent="0.25">
      <c r="P3664" s="220"/>
      <c r="Q3664" s="366"/>
    </row>
    <row r="3665" spans="16:17" x14ac:dyDescent="0.25">
      <c r="P3665" s="220"/>
      <c r="Q3665" s="366"/>
    </row>
    <row r="3666" spans="16:17" x14ac:dyDescent="0.25">
      <c r="P3666" s="220"/>
      <c r="Q3666" s="366"/>
    </row>
    <row r="3667" spans="16:17" x14ac:dyDescent="0.25">
      <c r="P3667" s="220"/>
      <c r="Q3667" s="366"/>
    </row>
    <row r="3668" spans="16:17" x14ac:dyDescent="0.25">
      <c r="P3668" s="220"/>
      <c r="Q3668" s="366"/>
    </row>
    <row r="3669" spans="16:17" x14ac:dyDescent="0.25">
      <c r="P3669" s="220"/>
      <c r="Q3669" s="366"/>
    </row>
    <row r="3670" spans="16:17" x14ac:dyDescent="0.25">
      <c r="P3670" s="220"/>
      <c r="Q3670" s="366"/>
    </row>
    <row r="3671" spans="16:17" x14ac:dyDescent="0.25">
      <c r="P3671" s="220"/>
      <c r="Q3671" s="366"/>
    </row>
    <row r="3672" spans="16:17" x14ac:dyDescent="0.25">
      <c r="P3672" s="220"/>
      <c r="Q3672" s="366"/>
    </row>
    <row r="3673" spans="16:17" x14ac:dyDescent="0.25">
      <c r="P3673" s="220"/>
      <c r="Q3673" s="366"/>
    </row>
    <row r="3674" spans="16:17" x14ac:dyDescent="0.25">
      <c r="P3674" s="220"/>
      <c r="Q3674" s="366"/>
    </row>
    <row r="3675" spans="16:17" x14ac:dyDescent="0.25">
      <c r="P3675" s="220"/>
      <c r="Q3675" s="366"/>
    </row>
    <row r="3676" spans="16:17" x14ac:dyDescent="0.25">
      <c r="P3676" s="220"/>
      <c r="Q3676" s="366"/>
    </row>
    <row r="3677" spans="16:17" x14ac:dyDescent="0.25">
      <c r="P3677" s="220"/>
      <c r="Q3677" s="366"/>
    </row>
    <row r="3678" spans="16:17" x14ac:dyDescent="0.25">
      <c r="P3678" s="220"/>
      <c r="Q3678" s="366"/>
    </row>
    <row r="3679" spans="16:17" x14ac:dyDescent="0.25">
      <c r="P3679" s="220"/>
      <c r="Q3679" s="366"/>
    </row>
    <row r="3680" spans="16:17" x14ac:dyDescent="0.25">
      <c r="P3680" s="220"/>
      <c r="Q3680" s="366"/>
    </row>
    <row r="3681" spans="16:17" x14ac:dyDescent="0.25">
      <c r="P3681" s="220"/>
      <c r="Q3681" s="366"/>
    </row>
    <row r="3682" spans="16:17" x14ac:dyDescent="0.25">
      <c r="P3682" s="220"/>
      <c r="Q3682" s="366"/>
    </row>
    <row r="3683" spans="16:17" x14ac:dyDescent="0.25">
      <c r="P3683" s="220"/>
      <c r="Q3683" s="366"/>
    </row>
    <row r="3684" spans="16:17" x14ac:dyDescent="0.25">
      <c r="P3684" s="220"/>
      <c r="Q3684" s="366"/>
    </row>
    <row r="3685" spans="16:17" x14ac:dyDescent="0.25">
      <c r="P3685" s="220"/>
      <c r="Q3685" s="366"/>
    </row>
    <row r="3686" spans="16:17" x14ac:dyDescent="0.25">
      <c r="P3686" s="220"/>
      <c r="Q3686" s="366"/>
    </row>
    <row r="3687" spans="16:17" x14ac:dyDescent="0.25">
      <c r="P3687" s="220"/>
      <c r="Q3687" s="366"/>
    </row>
    <row r="3688" spans="16:17" x14ac:dyDescent="0.25">
      <c r="P3688" s="220"/>
      <c r="Q3688" s="366"/>
    </row>
    <row r="3689" spans="16:17" x14ac:dyDescent="0.25">
      <c r="P3689" s="220"/>
      <c r="Q3689" s="366"/>
    </row>
    <row r="3690" spans="16:17" x14ac:dyDescent="0.25">
      <c r="P3690" s="220"/>
      <c r="Q3690" s="366"/>
    </row>
    <row r="3691" spans="16:17" x14ac:dyDescent="0.25">
      <c r="P3691" s="220"/>
      <c r="Q3691" s="366"/>
    </row>
    <row r="3692" spans="16:17" x14ac:dyDescent="0.25">
      <c r="P3692" s="220"/>
      <c r="Q3692" s="366"/>
    </row>
    <row r="3693" spans="16:17" x14ac:dyDescent="0.25">
      <c r="P3693" s="220"/>
      <c r="Q3693" s="366"/>
    </row>
    <row r="3694" spans="16:17" x14ac:dyDescent="0.25">
      <c r="P3694" s="220"/>
      <c r="Q3694" s="366"/>
    </row>
    <row r="3695" spans="16:17" x14ac:dyDescent="0.25">
      <c r="P3695" s="220"/>
      <c r="Q3695" s="366"/>
    </row>
    <row r="3696" spans="16:17" x14ac:dyDescent="0.25">
      <c r="P3696" s="220"/>
      <c r="Q3696" s="366"/>
    </row>
    <row r="3697" spans="16:17" x14ac:dyDescent="0.25">
      <c r="P3697" s="220"/>
      <c r="Q3697" s="366"/>
    </row>
    <row r="3698" spans="16:17" x14ac:dyDescent="0.25">
      <c r="P3698" s="220"/>
      <c r="Q3698" s="366"/>
    </row>
    <row r="3699" spans="16:17" x14ac:dyDescent="0.25">
      <c r="P3699" s="220"/>
      <c r="Q3699" s="366"/>
    </row>
    <row r="3700" spans="16:17" x14ac:dyDescent="0.25">
      <c r="P3700" s="220"/>
      <c r="Q3700" s="366"/>
    </row>
    <row r="3701" spans="16:17" x14ac:dyDescent="0.25">
      <c r="P3701" s="220"/>
      <c r="Q3701" s="366"/>
    </row>
    <row r="3702" spans="16:17" x14ac:dyDescent="0.25">
      <c r="P3702" s="220"/>
      <c r="Q3702" s="366"/>
    </row>
    <row r="3703" spans="16:17" x14ac:dyDescent="0.25">
      <c r="P3703" s="220"/>
      <c r="Q3703" s="366"/>
    </row>
    <row r="3704" spans="16:17" x14ac:dyDescent="0.25">
      <c r="P3704" s="220"/>
      <c r="Q3704" s="366"/>
    </row>
    <row r="3705" spans="16:17" x14ac:dyDescent="0.25">
      <c r="P3705" s="220"/>
      <c r="Q3705" s="366"/>
    </row>
    <row r="3706" spans="16:17" x14ac:dyDescent="0.25">
      <c r="P3706" s="220"/>
      <c r="Q3706" s="366"/>
    </row>
    <row r="3707" spans="16:17" x14ac:dyDescent="0.25">
      <c r="P3707" s="220"/>
      <c r="Q3707" s="366"/>
    </row>
    <row r="3708" spans="16:17" x14ac:dyDescent="0.25">
      <c r="P3708" s="220"/>
      <c r="Q3708" s="366"/>
    </row>
    <row r="3709" spans="16:17" x14ac:dyDescent="0.25">
      <c r="P3709" s="220"/>
      <c r="Q3709" s="366"/>
    </row>
    <row r="3710" spans="16:17" x14ac:dyDescent="0.25">
      <c r="P3710" s="220"/>
      <c r="Q3710" s="366"/>
    </row>
    <row r="3711" spans="16:17" x14ac:dyDescent="0.25">
      <c r="P3711" s="220"/>
      <c r="Q3711" s="366"/>
    </row>
    <row r="3712" spans="16:17" x14ac:dyDescent="0.25">
      <c r="P3712" s="220"/>
      <c r="Q3712" s="366"/>
    </row>
    <row r="3713" spans="16:17" x14ac:dyDescent="0.25">
      <c r="P3713" s="220"/>
      <c r="Q3713" s="366"/>
    </row>
    <row r="3714" spans="16:17" x14ac:dyDescent="0.25">
      <c r="P3714" s="220"/>
      <c r="Q3714" s="366"/>
    </row>
    <row r="3715" spans="16:17" x14ac:dyDescent="0.25">
      <c r="P3715" s="220"/>
      <c r="Q3715" s="366"/>
    </row>
    <row r="3716" spans="16:17" x14ac:dyDescent="0.25">
      <c r="P3716" s="220"/>
      <c r="Q3716" s="366"/>
    </row>
    <row r="3717" spans="16:17" x14ac:dyDescent="0.25">
      <c r="P3717" s="220"/>
      <c r="Q3717" s="366"/>
    </row>
    <row r="3718" spans="16:17" x14ac:dyDescent="0.25">
      <c r="P3718" s="220"/>
      <c r="Q3718" s="366"/>
    </row>
    <row r="3719" spans="16:17" x14ac:dyDescent="0.25">
      <c r="P3719" s="220"/>
      <c r="Q3719" s="366"/>
    </row>
    <row r="3720" spans="16:17" x14ac:dyDescent="0.25">
      <c r="P3720" s="220"/>
      <c r="Q3720" s="366"/>
    </row>
    <row r="3721" spans="16:17" x14ac:dyDescent="0.25">
      <c r="P3721" s="220"/>
      <c r="Q3721" s="366"/>
    </row>
    <row r="3722" spans="16:17" x14ac:dyDescent="0.25">
      <c r="P3722" s="220"/>
      <c r="Q3722" s="366"/>
    </row>
    <row r="3723" spans="16:17" x14ac:dyDescent="0.25">
      <c r="P3723" s="220"/>
      <c r="Q3723" s="366"/>
    </row>
    <row r="3724" spans="16:17" x14ac:dyDescent="0.25">
      <c r="P3724" s="220"/>
      <c r="Q3724" s="366"/>
    </row>
    <row r="3725" spans="16:17" x14ac:dyDescent="0.25">
      <c r="P3725" s="220"/>
      <c r="Q3725" s="366"/>
    </row>
    <row r="3726" spans="16:17" x14ac:dyDescent="0.25">
      <c r="P3726" s="220"/>
      <c r="Q3726" s="366"/>
    </row>
    <row r="3727" spans="16:17" x14ac:dyDescent="0.25">
      <c r="P3727" s="220"/>
      <c r="Q3727" s="366"/>
    </row>
    <row r="3728" spans="16:17" x14ac:dyDescent="0.25">
      <c r="P3728" s="220"/>
      <c r="Q3728" s="366"/>
    </row>
    <row r="3729" spans="16:17" x14ac:dyDescent="0.25">
      <c r="P3729" s="220"/>
      <c r="Q3729" s="366"/>
    </row>
    <row r="3730" spans="16:17" x14ac:dyDescent="0.25">
      <c r="P3730" s="220"/>
      <c r="Q3730" s="366"/>
    </row>
    <row r="3731" spans="16:17" x14ac:dyDescent="0.25">
      <c r="P3731" s="220"/>
      <c r="Q3731" s="366"/>
    </row>
    <row r="3732" spans="16:17" x14ac:dyDescent="0.25">
      <c r="P3732" s="220"/>
      <c r="Q3732" s="366"/>
    </row>
    <row r="3733" spans="16:17" x14ac:dyDescent="0.25">
      <c r="P3733" s="220"/>
      <c r="Q3733" s="366"/>
    </row>
    <row r="3734" spans="16:17" x14ac:dyDescent="0.25">
      <c r="P3734" s="220"/>
      <c r="Q3734" s="366"/>
    </row>
    <row r="3735" spans="16:17" x14ac:dyDescent="0.25">
      <c r="P3735" s="220"/>
      <c r="Q3735" s="366"/>
    </row>
    <row r="3736" spans="16:17" x14ac:dyDescent="0.25">
      <c r="P3736" s="220"/>
      <c r="Q3736" s="366"/>
    </row>
    <row r="3737" spans="16:17" x14ac:dyDescent="0.25">
      <c r="P3737" s="220"/>
      <c r="Q3737" s="366"/>
    </row>
    <row r="3738" spans="16:17" x14ac:dyDescent="0.25">
      <c r="P3738" s="220"/>
      <c r="Q3738" s="366"/>
    </row>
    <row r="3739" spans="16:17" x14ac:dyDescent="0.25">
      <c r="P3739" s="220"/>
      <c r="Q3739" s="366"/>
    </row>
    <row r="3740" spans="16:17" x14ac:dyDescent="0.25">
      <c r="P3740" s="220"/>
      <c r="Q3740" s="366"/>
    </row>
    <row r="3741" spans="16:17" x14ac:dyDescent="0.25">
      <c r="P3741" s="220"/>
      <c r="Q3741" s="366"/>
    </row>
    <row r="3742" spans="16:17" x14ac:dyDescent="0.25">
      <c r="P3742" s="220"/>
      <c r="Q3742" s="366"/>
    </row>
    <row r="3743" spans="16:17" x14ac:dyDescent="0.25">
      <c r="P3743" s="220"/>
      <c r="Q3743" s="366"/>
    </row>
    <row r="3744" spans="16:17" x14ac:dyDescent="0.25">
      <c r="P3744" s="220"/>
      <c r="Q3744" s="366"/>
    </row>
    <row r="3745" spans="16:17" x14ac:dyDescent="0.25">
      <c r="P3745" s="220"/>
      <c r="Q3745" s="366"/>
    </row>
    <row r="3746" spans="16:17" x14ac:dyDescent="0.25">
      <c r="P3746" s="220"/>
      <c r="Q3746" s="366"/>
    </row>
    <row r="3747" spans="16:17" x14ac:dyDescent="0.25">
      <c r="P3747" s="220"/>
      <c r="Q3747" s="366"/>
    </row>
    <row r="3748" spans="16:17" x14ac:dyDescent="0.25">
      <c r="P3748" s="220"/>
      <c r="Q3748" s="366"/>
    </row>
    <row r="3749" spans="16:17" x14ac:dyDescent="0.25">
      <c r="P3749" s="220"/>
      <c r="Q3749" s="366"/>
    </row>
    <row r="3750" spans="16:17" x14ac:dyDescent="0.25">
      <c r="P3750" s="220"/>
      <c r="Q3750" s="366"/>
    </row>
    <row r="3751" spans="16:17" x14ac:dyDescent="0.25">
      <c r="P3751" s="220"/>
      <c r="Q3751" s="366"/>
    </row>
    <row r="3752" spans="16:17" x14ac:dyDescent="0.25">
      <c r="P3752" s="220"/>
      <c r="Q3752" s="366"/>
    </row>
    <row r="3753" spans="16:17" x14ac:dyDescent="0.25">
      <c r="P3753" s="220"/>
      <c r="Q3753" s="366"/>
    </row>
    <row r="3754" spans="16:17" x14ac:dyDescent="0.25">
      <c r="P3754" s="220"/>
      <c r="Q3754" s="366"/>
    </row>
    <row r="3755" spans="16:17" x14ac:dyDescent="0.25">
      <c r="P3755" s="220"/>
      <c r="Q3755" s="366"/>
    </row>
    <row r="3756" spans="16:17" x14ac:dyDescent="0.25">
      <c r="P3756" s="220"/>
      <c r="Q3756" s="366"/>
    </row>
    <row r="3757" spans="16:17" x14ac:dyDescent="0.25">
      <c r="P3757" s="220"/>
      <c r="Q3757" s="366"/>
    </row>
    <row r="3758" spans="16:17" x14ac:dyDescent="0.25">
      <c r="P3758" s="220"/>
      <c r="Q3758" s="366"/>
    </row>
    <row r="3759" spans="16:17" x14ac:dyDescent="0.25">
      <c r="P3759" s="220"/>
      <c r="Q3759" s="366"/>
    </row>
    <row r="3760" spans="16:17" x14ac:dyDescent="0.25">
      <c r="P3760" s="220"/>
      <c r="Q3760" s="366"/>
    </row>
    <row r="3761" spans="16:17" x14ac:dyDescent="0.25">
      <c r="P3761" s="220"/>
      <c r="Q3761" s="366"/>
    </row>
    <row r="3762" spans="16:17" x14ac:dyDescent="0.25">
      <c r="P3762" s="220"/>
      <c r="Q3762" s="366"/>
    </row>
    <row r="3763" spans="16:17" x14ac:dyDescent="0.25">
      <c r="P3763" s="220"/>
      <c r="Q3763" s="366"/>
    </row>
    <row r="3764" spans="16:17" x14ac:dyDescent="0.25">
      <c r="P3764" s="220"/>
      <c r="Q3764" s="366"/>
    </row>
    <row r="3765" spans="16:17" x14ac:dyDescent="0.25">
      <c r="P3765" s="220"/>
      <c r="Q3765" s="366"/>
    </row>
    <row r="3766" spans="16:17" x14ac:dyDescent="0.25">
      <c r="P3766" s="220"/>
      <c r="Q3766" s="366"/>
    </row>
    <row r="3767" spans="16:17" x14ac:dyDescent="0.25">
      <c r="P3767" s="220"/>
      <c r="Q3767" s="366"/>
    </row>
    <row r="3768" spans="16:17" x14ac:dyDescent="0.25">
      <c r="P3768" s="220"/>
      <c r="Q3768" s="366"/>
    </row>
    <row r="3769" spans="16:17" x14ac:dyDescent="0.25">
      <c r="P3769" s="220"/>
      <c r="Q3769" s="366"/>
    </row>
    <row r="3770" spans="16:17" x14ac:dyDescent="0.25">
      <c r="P3770" s="220"/>
      <c r="Q3770" s="366"/>
    </row>
    <row r="3771" spans="16:17" x14ac:dyDescent="0.25">
      <c r="P3771" s="220"/>
      <c r="Q3771" s="366"/>
    </row>
    <row r="3772" spans="16:17" x14ac:dyDescent="0.25">
      <c r="P3772" s="220"/>
      <c r="Q3772" s="366"/>
    </row>
    <row r="3773" spans="16:17" x14ac:dyDescent="0.25">
      <c r="P3773" s="220"/>
      <c r="Q3773" s="366"/>
    </row>
    <row r="3774" spans="16:17" x14ac:dyDescent="0.25">
      <c r="P3774" s="220"/>
      <c r="Q3774" s="366"/>
    </row>
    <row r="3775" spans="16:17" x14ac:dyDescent="0.25">
      <c r="P3775" s="220"/>
      <c r="Q3775" s="366"/>
    </row>
    <row r="3776" spans="16:17" x14ac:dyDescent="0.25">
      <c r="P3776" s="220"/>
      <c r="Q3776" s="366"/>
    </row>
    <row r="3777" spans="16:17" x14ac:dyDescent="0.25">
      <c r="P3777" s="220"/>
      <c r="Q3777" s="366"/>
    </row>
    <row r="3778" spans="16:17" x14ac:dyDescent="0.25">
      <c r="P3778" s="220"/>
      <c r="Q3778" s="366"/>
    </row>
    <row r="3779" spans="16:17" x14ac:dyDescent="0.25">
      <c r="P3779" s="220"/>
      <c r="Q3779" s="366"/>
    </row>
    <row r="3780" spans="16:17" x14ac:dyDescent="0.25">
      <c r="P3780" s="220"/>
      <c r="Q3780" s="366"/>
    </row>
    <row r="3781" spans="16:17" x14ac:dyDescent="0.25">
      <c r="P3781" s="220"/>
      <c r="Q3781" s="366"/>
    </row>
    <row r="3782" spans="16:17" x14ac:dyDescent="0.25">
      <c r="P3782" s="220"/>
      <c r="Q3782" s="366"/>
    </row>
    <row r="3783" spans="16:17" x14ac:dyDescent="0.25">
      <c r="P3783" s="220"/>
      <c r="Q3783" s="366"/>
    </row>
    <row r="3784" spans="16:17" x14ac:dyDescent="0.25">
      <c r="P3784" s="220"/>
      <c r="Q3784" s="366"/>
    </row>
    <row r="3785" spans="16:17" x14ac:dyDescent="0.25">
      <c r="P3785" s="220"/>
      <c r="Q3785" s="366"/>
    </row>
    <row r="3786" spans="16:17" x14ac:dyDescent="0.25">
      <c r="P3786" s="220"/>
      <c r="Q3786" s="366"/>
    </row>
    <row r="3787" spans="16:17" x14ac:dyDescent="0.25">
      <c r="P3787" s="220"/>
      <c r="Q3787" s="366"/>
    </row>
    <row r="3788" spans="16:17" x14ac:dyDescent="0.25">
      <c r="P3788" s="220"/>
      <c r="Q3788" s="366"/>
    </row>
    <row r="3789" spans="16:17" x14ac:dyDescent="0.25">
      <c r="P3789" s="220"/>
      <c r="Q3789" s="366"/>
    </row>
    <row r="3790" spans="16:17" x14ac:dyDescent="0.25">
      <c r="P3790" s="220"/>
      <c r="Q3790" s="366"/>
    </row>
    <row r="3791" spans="16:17" x14ac:dyDescent="0.25">
      <c r="P3791" s="220"/>
      <c r="Q3791" s="366"/>
    </row>
    <row r="3792" spans="16:17" x14ac:dyDescent="0.25">
      <c r="P3792" s="220"/>
      <c r="Q3792" s="366"/>
    </row>
    <row r="3793" spans="16:17" x14ac:dyDescent="0.25">
      <c r="P3793" s="220"/>
      <c r="Q3793" s="366"/>
    </row>
    <row r="3794" spans="16:17" x14ac:dyDescent="0.25">
      <c r="P3794" s="220"/>
      <c r="Q3794" s="366"/>
    </row>
    <row r="3795" spans="16:17" x14ac:dyDescent="0.25">
      <c r="P3795" s="220"/>
      <c r="Q3795" s="366"/>
    </row>
    <row r="3796" spans="16:17" x14ac:dyDescent="0.25">
      <c r="P3796" s="220"/>
      <c r="Q3796" s="366"/>
    </row>
    <row r="3797" spans="16:17" x14ac:dyDescent="0.25">
      <c r="P3797" s="220"/>
      <c r="Q3797" s="366"/>
    </row>
    <row r="3798" spans="16:17" x14ac:dyDescent="0.25">
      <c r="P3798" s="220"/>
      <c r="Q3798" s="366"/>
    </row>
    <row r="3799" spans="16:17" x14ac:dyDescent="0.25">
      <c r="P3799" s="220"/>
      <c r="Q3799" s="366"/>
    </row>
    <row r="3800" spans="16:17" x14ac:dyDescent="0.25">
      <c r="P3800" s="220"/>
      <c r="Q3800" s="366"/>
    </row>
    <row r="3801" spans="16:17" x14ac:dyDescent="0.25">
      <c r="P3801" s="220"/>
      <c r="Q3801" s="366"/>
    </row>
    <row r="3802" spans="16:17" x14ac:dyDescent="0.25">
      <c r="P3802" s="220"/>
      <c r="Q3802" s="366"/>
    </row>
    <row r="3803" spans="16:17" x14ac:dyDescent="0.25">
      <c r="P3803" s="220"/>
      <c r="Q3803" s="366"/>
    </row>
    <row r="3804" spans="16:17" x14ac:dyDescent="0.25">
      <c r="P3804" s="220"/>
      <c r="Q3804" s="366"/>
    </row>
    <row r="3805" spans="16:17" x14ac:dyDescent="0.25">
      <c r="P3805" s="220"/>
      <c r="Q3805" s="366"/>
    </row>
    <row r="3806" spans="16:17" x14ac:dyDescent="0.25">
      <c r="P3806" s="220"/>
      <c r="Q3806" s="366"/>
    </row>
    <row r="3807" spans="16:17" x14ac:dyDescent="0.25">
      <c r="P3807" s="220"/>
      <c r="Q3807" s="366"/>
    </row>
    <row r="3808" spans="16:17" x14ac:dyDescent="0.25">
      <c r="P3808" s="220"/>
      <c r="Q3808" s="366"/>
    </row>
    <row r="3809" spans="16:17" x14ac:dyDescent="0.25">
      <c r="P3809" s="220"/>
      <c r="Q3809" s="366"/>
    </row>
    <row r="3810" spans="16:17" x14ac:dyDescent="0.25">
      <c r="P3810" s="220"/>
      <c r="Q3810" s="366"/>
    </row>
    <row r="3811" spans="16:17" x14ac:dyDescent="0.25">
      <c r="P3811" s="220"/>
      <c r="Q3811" s="366"/>
    </row>
    <row r="3812" spans="16:17" x14ac:dyDescent="0.25">
      <c r="P3812" s="220"/>
      <c r="Q3812" s="366"/>
    </row>
    <row r="3813" spans="16:17" x14ac:dyDescent="0.25">
      <c r="P3813" s="220"/>
      <c r="Q3813" s="366"/>
    </row>
    <row r="3814" spans="16:17" x14ac:dyDescent="0.25">
      <c r="P3814" s="220"/>
      <c r="Q3814" s="366"/>
    </row>
    <row r="3815" spans="16:17" x14ac:dyDescent="0.25">
      <c r="P3815" s="220"/>
      <c r="Q3815" s="366"/>
    </row>
    <row r="3816" spans="16:17" x14ac:dyDescent="0.25">
      <c r="P3816" s="220"/>
      <c r="Q3816" s="366"/>
    </row>
    <row r="3817" spans="16:17" x14ac:dyDescent="0.25">
      <c r="P3817" s="220"/>
      <c r="Q3817" s="366"/>
    </row>
    <row r="3818" spans="16:17" x14ac:dyDescent="0.25">
      <c r="P3818" s="220"/>
      <c r="Q3818" s="366"/>
    </row>
    <row r="3819" spans="16:17" x14ac:dyDescent="0.25">
      <c r="P3819" s="220"/>
      <c r="Q3819" s="366"/>
    </row>
    <row r="3820" spans="16:17" x14ac:dyDescent="0.25">
      <c r="P3820" s="220"/>
      <c r="Q3820" s="366"/>
    </row>
    <row r="3821" spans="16:17" x14ac:dyDescent="0.25">
      <c r="P3821" s="220"/>
      <c r="Q3821" s="366"/>
    </row>
    <row r="3822" spans="16:17" x14ac:dyDescent="0.25">
      <c r="P3822" s="220"/>
      <c r="Q3822" s="366"/>
    </row>
    <row r="3823" spans="16:17" x14ac:dyDescent="0.25">
      <c r="P3823" s="220"/>
      <c r="Q3823" s="366"/>
    </row>
    <row r="3824" spans="16:17" x14ac:dyDescent="0.25">
      <c r="P3824" s="220"/>
      <c r="Q3824" s="366"/>
    </row>
    <row r="3825" spans="16:17" x14ac:dyDescent="0.25">
      <c r="P3825" s="220"/>
      <c r="Q3825" s="366"/>
    </row>
    <row r="3826" spans="16:17" x14ac:dyDescent="0.25">
      <c r="P3826" s="220"/>
      <c r="Q3826" s="366"/>
    </row>
    <row r="3827" spans="16:17" x14ac:dyDescent="0.25">
      <c r="P3827" s="220"/>
      <c r="Q3827" s="366"/>
    </row>
    <row r="3828" spans="16:17" x14ac:dyDescent="0.25">
      <c r="P3828" s="220"/>
      <c r="Q3828" s="366"/>
    </row>
    <row r="3829" spans="16:17" x14ac:dyDescent="0.25">
      <c r="P3829" s="220"/>
      <c r="Q3829" s="366"/>
    </row>
    <row r="3830" spans="16:17" x14ac:dyDescent="0.25">
      <c r="P3830" s="220"/>
      <c r="Q3830" s="366"/>
    </row>
    <row r="3831" spans="16:17" x14ac:dyDescent="0.25">
      <c r="P3831" s="220"/>
      <c r="Q3831" s="366"/>
    </row>
    <row r="3832" spans="16:17" x14ac:dyDescent="0.25">
      <c r="P3832" s="220"/>
      <c r="Q3832" s="366"/>
    </row>
    <row r="3833" spans="16:17" x14ac:dyDescent="0.25">
      <c r="P3833" s="220"/>
      <c r="Q3833" s="366"/>
    </row>
    <row r="3834" spans="16:17" x14ac:dyDescent="0.25">
      <c r="P3834" s="220"/>
      <c r="Q3834" s="366"/>
    </row>
    <row r="3835" spans="16:17" x14ac:dyDescent="0.25">
      <c r="P3835" s="220"/>
      <c r="Q3835" s="366"/>
    </row>
    <row r="3836" spans="16:17" x14ac:dyDescent="0.25">
      <c r="P3836" s="220"/>
      <c r="Q3836" s="366"/>
    </row>
    <row r="3837" spans="16:17" x14ac:dyDescent="0.25">
      <c r="P3837" s="220"/>
      <c r="Q3837" s="366"/>
    </row>
    <row r="3838" spans="16:17" x14ac:dyDescent="0.25">
      <c r="P3838" s="220"/>
      <c r="Q3838" s="366"/>
    </row>
    <row r="3839" spans="16:17" x14ac:dyDescent="0.25">
      <c r="P3839" s="220"/>
      <c r="Q3839" s="366"/>
    </row>
    <row r="3840" spans="16:17" x14ac:dyDescent="0.25">
      <c r="P3840" s="220"/>
      <c r="Q3840" s="366"/>
    </row>
    <row r="3841" spans="16:17" x14ac:dyDescent="0.25">
      <c r="P3841" s="220"/>
      <c r="Q3841" s="366"/>
    </row>
    <row r="3842" spans="16:17" x14ac:dyDescent="0.25">
      <c r="P3842" s="220"/>
      <c r="Q3842" s="366"/>
    </row>
    <row r="3843" spans="16:17" x14ac:dyDescent="0.25">
      <c r="P3843" s="220"/>
      <c r="Q3843" s="366"/>
    </row>
    <row r="3844" spans="16:17" x14ac:dyDescent="0.25">
      <c r="P3844" s="220"/>
      <c r="Q3844" s="366"/>
    </row>
    <row r="3845" spans="16:17" x14ac:dyDescent="0.25">
      <c r="P3845" s="220"/>
      <c r="Q3845" s="366"/>
    </row>
    <row r="3846" spans="16:17" x14ac:dyDescent="0.25">
      <c r="P3846" s="220"/>
      <c r="Q3846" s="366"/>
    </row>
    <row r="3847" spans="16:17" x14ac:dyDescent="0.25">
      <c r="P3847" s="220"/>
      <c r="Q3847" s="366"/>
    </row>
    <row r="3848" spans="16:17" x14ac:dyDescent="0.25">
      <c r="P3848" s="220"/>
      <c r="Q3848" s="366"/>
    </row>
    <row r="3849" spans="16:17" x14ac:dyDescent="0.25">
      <c r="P3849" s="220"/>
      <c r="Q3849" s="366"/>
    </row>
    <row r="3850" spans="16:17" x14ac:dyDescent="0.25">
      <c r="P3850" s="220"/>
      <c r="Q3850" s="366"/>
    </row>
    <row r="3851" spans="16:17" x14ac:dyDescent="0.25">
      <c r="P3851" s="220"/>
      <c r="Q3851" s="366"/>
    </row>
    <row r="3852" spans="16:17" x14ac:dyDescent="0.25">
      <c r="P3852" s="220"/>
      <c r="Q3852" s="366"/>
    </row>
    <row r="3853" spans="16:17" x14ac:dyDescent="0.25">
      <c r="P3853" s="220"/>
      <c r="Q3853" s="366"/>
    </row>
    <row r="3854" spans="16:17" x14ac:dyDescent="0.25">
      <c r="P3854" s="220"/>
      <c r="Q3854" s="366"/>
    </row>
    <row r="3855" spans="16:17" x14ac:dyDescent="0.25">
      <c r="P3855" s="220"/>
      <c r="Q3855" s="366"/>
    </row>
    <row r="3856" spans="16:17" x14ac:dyDescent="0.25">
      <c r="P3856" s="220"/>
      <c r="Q3856" s="366"/>
    </row>
    <row r="3857" spans="16:17" x14ac:dyDescent="0.25">
      <c r="P3857" s="220"/>
      <c r="Q3857" s="366"/>
    </row>
    <row r="3858" spans="16:17" x14ac:dyDescent="0.25">
      <c r="P3858" s="220"/>
      <c r="Q3858" s="366"/>
    </row>
    <row r="3859" spans="16:17" x14ac:dyDescent="0.25">
      <c r="P3859" s="220"/>
      <c r="Q3859" s="366"/>
    </row>
    <row r="3860" spans="16:17" x14ac:dyDescent="0.25">
      <c r="P3860" s="220"/>
      <c r="Q3860" s="366"/>
    </row>
    <row r="3861" spans="16:17" x14ac:dyDescent="0.25">
      <c r="P3861" s="220"/>
      <c r="Q3861" s="366"/>
    </row>
    <row r="3862" spans="16:17" x14ac:dyDescent="0.25">
      <c r="P3862" s="220"/>
      <c r="Q3862" s="366"/>
    </row>
    <row r="3863" spans="16:17" x14ac:dyDescent="0.25">
      <c r="P3863" s="220"/>
      <c r="Q3863" s="366"/>
    </row>
    <row r="3864" spans="16:17" x14ac:dyDescent="0.25">
      <c r="P3864" s="220"/>
      <c r="Q3864" s="366"/>
    </row>
    <row r="3865" spans="16:17" x14ac:dyDescent="0.25">
      <c r="P3865" s="220"/>
      <c r="Q3865" s="366"/>
    </row>
    <row r="3866" spans="16:17" x14ac:dyDescent="0.25">
      <c r="P3866" s="220"/>
      <c r="Q3866" s="366"/>
    </row>
    <row r="3867" spans="16:17" x14ac:dyDescent="0.25">
      <c r="P3867" s="220"/>
      <c r="Q3867" s="366"/>
    </row>
    <row r="3868" spans="16:17" x14ac:dyDescent="0.25">
      <c r="P3868" s="220"/>
      <c r="Q3868" s="366"/>
    </row>
    <row r="3869" spans="16:17" x14ac:dyDescent="0.25">
      <c r="P3869" s="220"/>
      <c r="Q3869" s="366"/>
    </row>
    <row r="3870" spans="16:17" x14ac:dyDescent="0.25">
      <c r="P3870" s="220"/>
      <c r="Q3870" s="366"/>
    </row>
    <row r="3871" spans="16:17" x14ac:dyDescent="0.25">
      <c r="P3871" s="220"/>
      <c r="Q3871" s="366"/>
    </row>
    <row r="3872" spans="16:17" x14ac:dyDescent="0.25">
      <c r="P3872" s="220"/>
      <c r="Q3872" s="366"/>
    </row>
    <row r="3873" spans="16:17" x14ac:dyDescent="0.25">
      <c r="P3873" s="220"/>
      <c r="Q3873" s="366"/>
    </row>
    <row r="3874" spans="16:17" x14ac:dyDescent="0.25">
      <c r="P3874" s="220"/>
      <c r="Q3874" s="366"/>
    </row>
    <row r="3875" spans="16:17" x14ac:dyDescent="0.25">
      <c r="P3875" s="220"/>
      <c r="Q3875" s="366"/>
    </row>
    <row r="3876" spans="16:17" x14ac:dyDescent="0.25">
      <c r="P3876" s="220"/>
      <c r="Q3876" s="366"/>
    </row>
    <row r="3877" spans="16:17" x14ac:dyDescent="0.25">
      <c r="P3877" s="220"/>
      <c r="Q3877" s="366"/>
    </row>
    <row r="3878" spans="16:17" x14ac:dyDescent="0.25">
      <c r="P3878" s="220"/>
      <c r="Q3878" s="366"/>
    </row>
    <row r="3879" spans="16:17" x14ac:dyDescent="0.25">
      <c r="P3879" s="220"/>
      <c r="Q3879" s="366"/>
    </row>
    <row r="3880" spans="16:17" x14ac:dyDescent="0.25">
      <c r="P3880" s="220"/>
      <c r="Q3880" s="366"/>
    </row>
    <row r="3881" spans="16:17" x14ac:dyDescent="0.25">
      <c r="P3881" s="220"/>
      <c r="Q3881" s="366"/>
    </row>
    <row r="3882" spans="16:17" x14ac:dyDescent="0.25">
      <c r="P3882" s="220"/>
      <c r="Q3882" s="366"/>
    </row>
    <row r="3883" spans="16:17" x14ac:dyDescent="0.25">
      <c r="P3883" s="220"/>
      <c r="Q3883" s="366"/>
    </row>
    <row r="3884" spans="16:17" x14ac:dyDescent="0.25">
      <c r="P3884" s="220"/>
      <c r="Q3884" s="366"/>
    </row>
    <row r="3885" spans="16:17" x14ac:dyDescent="0.25">
      <c r="P3885" s="220"/>
      <c r="Q3885" s="366"/>
    </row>
    <row r="3886" spans="16:17" x14ac:dyDescent="0.25">
      <c r="P3886" s="220"/>
      <c r="Q3886" s="366"/>
    </row>
    <row r="3887" spans="16:17" x14ac:dyDescent="0.25">
      <c r="P3887" s="220"/>
      <c r="Q3887" s="366"/>
    </row>
    <row r="3888" spans="16:17" x14ac:dyDescent="0.25">
      <c r="P3888" s="220"/>
      <c r="Q3888" s="366"/>
    </row>
    <row r="3889" spans="16:17" x14ac:dyDescent="0.25">
      <c r="P3889" s="220"/>
      <c r="Q3889" s="366"/>
    </row>
    <row r="3890" spans="16:17" x14ac:dyDescent="0.25">
      <c r="P3890" s="220"/>
      <c r="Q3890" s="366"/>
    </row>
    <row r="3891" spans="16:17" x14ac:dyDescent="0.25">
      <c r="P3891" s="220"/>
      <c r="Q3891" s="366"/>
    </row>
    <row r="3892" spans="16:17" x14ac:dyDescent="0.25">
      <c r="P3892" s="220"/>
      <c r="Q3892" s="366"/>
    </row>
    <row r="3893" spans="16:17" x14ac:dyDescent="0.25">
      <c r="P3893" s="220"/>
      <c r="Q3893" s="366"/>
    </row>
    <row r="3894" spans="16:17" x14ac:dyDescent="0.25">
      <c r="P3894" s="220"/>
      <c r="Q3894" s="366"/>
    </row>
    <row r="3895" spans="16:17" x14ac:dyDescent="0.25">
      <c r="P3895" s="220"/>
      <c r="Q3895" s="366"/>
    </row>
    <row r="3896" spans="16:17" x14ac:dyDescent="0.25">
      <c r="P3896" s="220"/>
      <c r="Q3896" s="366"/>
    </row>
    <row r="3897" spans="16:17" x14ac:dyDescent="0.25">
      <c r="P3897" s="220"/>
      <c r="Q3897" s="366"/>
    </row>
    <row r="3898" spans="16:17" x14ac:dyDescent="0.25">
      <c r="P3898" s="220"/>
      <c r="Q3898" s="366"/>
    </row>
    <row r="3899" spans="16:17" x14ac:dyDescent="0.25">
      <c r="P3899" s="220"/>
      <c r="Q3899" s="366"/>
    </row>
    <row r="3900" spans="16:17" x14ac:dyDescent="0.25">
      <c r="P3900" s="220"/>
      <c r="Q3900" s="366"/>
    </row>
    <row r="3901" spans="16:17" x14ac:dyDescent="0.25">
      <c r="P3901" s="220"/>
      <c r="Q3901" s="366"/>
    </row>
    <row r="3902" spans="16:17" x14ac:dyDescent="0.25">
      <c r="P3902" s="220"/>
      <c r="Q3902" s="366"/>
    </row>
    <row r="3903" spans="16:17" x14ac:dyDescent="0.25">
      <c r="P3903" s="220"/>
      <c r="Q3903" s="366"/>
    </row>
    <row r="3904" spans="16:17" x14ac:dyDescent="0.25">
      <c r="P3904" s="220"/>
      <c r="Q3904" s="366"/>
    </row>
    <row r="3905" spans="16:17" x14ac:dyDescent="0.25">
      <c r="P3905" s="220"/>
      <c r="Q3905" s="366"/>
    </row>
    <row r="3906" spans="16:17" x14ac:dyDescent="0.25">
      <c r="P3906" s="220"/>
      <c r="Q3906" s="366"/>
    </row>
    <row r="3907" spans="16:17" x14ac:dyDescent="0.25">
      <c r="P3907" s="220"/>
      <c r="Q3907" s="366"/>
    </row>
    <row r="3908" spans="16:17" x14ac:dyDescent="0.25">
      <c r="P3908" s="220"/>
      <c r="Q3908" s="366"/>
    </row>
    <row r="3909" spans="16:17" x14ac:dyDescent="0.25">
      <c r="P3909" s="220"/>
      <c r="Q3909" s="366"/>
    </row>
    <row r="3910" spans="16:17" x14ac:dyDescent="0.25">
      <c r="P3910" s="220"/>
      <c r="Q3910" s="366"/>
    </row>
    <row r="3911" spans="16:17" x14ac:dyDescent="0.25">
      <c r="P3911" s="220"/>
      <c r="Q3911" s="366"/>
    </row>
    <row r="3912" spans="16:17" x14ac:dyDescent="0.25">
      <c r="P3912" s="220"/>
      <c r="Q3912" s="366"/>
    </row>
    <row r="3913" spans="16:17" x14ac:dyDescent="0.25">
      <c r="P3913" s="220"/>
      <c r="Q3913" s="366"/>
    </row>
    <row r="3914" spans="16:17" x14ac:dyDescent="0.25">
      <c r="P3914" s="220"/>
      <c r="Q3914" s="366"/>
    </row>
    <row r="3915" spans="16:17" x14ac:dyDescent="0.25">
      <c r="P3915" s="220"/>
      <c r="Q3915" s="366"/>
    </row>
    <row r="3916" spans="16:17" x14ac:dyDescent="0.25">
      <c r="P3916" s="220"/>
      <c r="Q3916" s="366"/>
    </row>
    <row r="3917" spans="16:17" x14ac:dyDescent="0.25">
      <c r="P3917" s="220"/>
      <c r="Q3917" s="366"/>
    </row>
    <row r="3918" spans="16:17" x14ac:dyDescent="0.25">
      <c r="P3918" s="220"/>
      <c r="Q3918" s="366"/>
    </row>
    <row r="3919" spans="16:17" x14ac:dyDescent="0.25">
      <c r="P3919" s="220"/>
      <c r="Q3919" s="366"/>
    </row>
    <row r="3920" spans="16:17" x14ac:dyDescent="0.25">
      <c r="P3920" s="220"/>
      <c r="Q3920" s="366"/>
    </row>
    <row r="3921" spans="16:17" x14ac:dyDescent="0.25">
      <c r="P3921" s="220"/>
      <c r="Q3921" s="366"/>
    </row>
    <row r="3922" spans="16:17" x14ac:dyDescent="0.25">
      <c r="P3922" s="220"/>
      <c r="Q3922" s="366"/>
    </row>
    <row r="3923" spans="16:17" x14ac:dyDescent="0.25">
      <c r="P3923" s="220"/>
      <c r="Q3923" s="366"/>
    </row>
    <row r="3924" spans="16:17" x14ac:dyDescent="0.25">
      <c r="P3924" s="220"/>
      <c r="Q3924" s="366"/>
    </row>
    <row r="3925" spans="16:17" x14ac:dyDescent="0.25">
      <c r="P3925" s="220"/>
      <c r="Q3925" s="366"/>
    </row>
    <row r="3926" spans="16:17" x14ac:dyDescent="0.25">
      <c r="P3926" s="220"/>
      <c r="Q3926" s="366"/>
    </row>
    <row r="3927" spans="16:17" x14ac:dyDescent="0.25">
      <c r="P3927" s="220"/>
      <c r="Q3927" s="366"/>
    </row>
    <row r="3928" spans="16:17" x14ac:dyDescent="0.25">
      <c r="P3928" s="220"/>
      <c r="Q3928" s="366"/>
    </row>
    <row r="3929" spans="16:17" x14ac:dyDescent="0.25">
      <c r="P3929" s="220"/>
      <c r="Q3929" s="366"/>
    </row>
    <row r="3930" spans="16:17" x14ac:dyDescent="0.25">
      <c r="P3930" s="220"/>
      <c r="Q3930" s="366"/>
    </row>
    <row r="3931" spans="16:17" x14ac:dyDescent="0.25">
      <c r="P3931" s="220"/>
      <c r="Q3931" s="366"/>
    </row>
    <row r="3932" spans="16:17" x14ac:dyDescent="0.25">
      <c r="P3932" s="220"/>
      <c r="Q3932" s="366"/>
    </row>
    <row r="3933" spans="16:17" x14ac:dyDescent="0.25">
      <c r="P3933" s="220"/>
      <c r="Q3933" s="366"/>
    </row>
    <row r="3934" spans="16:17" x14ac:dyDescent="0.25">
      <c r="P3934" s="220"/>
      <c r="Q3934" s="366"/>
    </row>
    <row r="3935" spans="16:17" x14ac:dyDescent="0.25">
      <c r="P3935" s="220"/>
      <c r="Q3935" s="366"/>
    </row>
    <row r="3936" spans="16:17" x14ac:dyDescent="0.25">
      <c r="P3936" s="220"/>
      <c r="Q3936" s="366"/>
    </row>
    <row r="3937" spans="16:17" x14ac:dyDescent="0.25">
      <c r="P3937" s="220"/>
      <c r="Q3937" s="366"/>
    </row>
    <row r="3938" spans="16:17" x14ac:dyDescent="0.25">
      <c r="P3938" s="220"/>
      <c r="Q3938" s="366"/>
    </row>
    <row r="3939" spans="16:17" x14ac:dyDescent="0.25">
      <c r="P3939" s="220"/>
      <c r="Q3939" s="366"/>
    </row>
    <row r="3940" spans="16:17" x14ac:dyDescent="0.25">
      <c r="P3940" s="220"/>
      <c r="Q3940" s="366"/>
    </row>
    <row r="3941" spans="16:17" x14ac:dyDescent="0.25">
      <c r="P3941" s="220"/>
      <c r="Q3941" s="366"/>
    </row>
    <row r="3942" spans="16:17" x14ac:dyDescent="0.25">
      <c r="P3942" s="220"/>
      <c r="Q3942" s="366"/>
    </row>
    <row r="3943" spans="16:17" x14ac:dyDescent="0.25">
      <c r="P3943" s="220"/>
      <c r="Q3943" s="366"/>
    </row>
    <row r="3944" spans="16:17" x14ac:dyDescent="0.25">
      <c r="P3944" s="220"/>
      <c r="Q3944" s="366"/>
    </row>
    <row r="3945" spans="16:17" x14ac:dyDescent="0.25">
      <c r="P3945" s="220"/>
      <c r="Q3945" s="366"/>
    </row>
    <row r="3946" spans="16:17" x14ac:dyDescent="0.25">
      <c r="P3946" s="220"/>
      <c r="Q3946" s="366"/>
    </row>
    <row r="3947" spans="16:17" x14ac:dyDescent="0.25">
      <c r="P3947" s="220"/>
      <c r="Q3947" s="366"/>
    </row>
    <row r="3948" spans="16:17" x14ac:dyDescent="0.25">
      <c r="P3948" s="220"/>
      <c r="Q3948" s="366"/>
    </row>
    <row r="3949" spans="16:17" x14ac:dyDescent="0.25">
      <c r="P3949" s="220"/>
      <c r="Q3949" s="366"/>
    </row>
    <row r="3950" spans="16:17" x14ac:dyDescent="0.25">
      <c r="P3950" s="220"/>
      <c r="Q3950" s="366"/>
    </row>
    <row r="3951" spans="16:17" x14ac:dyDescent="0.25">
      <c r="P3951" s="220"/>
      <c r="Q3951" s="366"/>
    </row>
    <row r="3952" spans="16:17" x14ac:dyDescent="0.25">
      <c r="P3952" s="220"/>
      <c r="Q3952" s="366"/>
    </row>
    <row r="3953" spans="16:17" x14ac:dyDescent="0.25">
      <c r="P3953" s="220"/>
      <c r="Q3953" s="366"/>
    </row>
    <row r="3954" spans="16:17" x14ac:dyDescent="0.25">
      <c r="P3954" s="220"/>
      <c r="Q3954" s="366"/>
    </row>
    <row r="3955" spans="16:17" x14ac:dyDescent="0.25">
      <c r="P3955" s="220"/>
      <c r="Q3955" s="366"/>
    </row>
    <row r="3956" spans="16:17" x14ac:dyDescent="0.25">
      <c r="P3956" s="220"/>
      <c r="Q3956" s="366"/>
    </row>
    <row r="3957" spans="16:17" x14ac:dyDescent="0.25">
      <c r="P3957" s="220"/>
      <c r="Q3957" s="366"/>
    </row>
    <row r="3958" spans="16:17" x14ac:dyDescent="0.25">
      <c r="P3958" s="220"/>
      <c r="Q3958" s="366"/>
    </row>
    <row r="3959" spans="16:17" x14ac:dyDescent="0.25">
      <c r="P3959" s="220"/>
      <c r="Q3959" s="366"/>
    </row>
    <row r="3960" spans="16:17" x14ac:dyDescent="0.25">
      <c r="P3960" s="220"/>
      <c r="Q3960" s="366"/>
    </row>
    <row r="3961" spans="16:17" x14ac:dyDescent="0.25">
      <c r="P3961" s="220"/>
      <c r="Q3961" s="366"/>
    </row>
    <row r="3962" spans="16:17" x14ac:dyDescent="0.25">
      <c r="P3962" s="220"/>
      <c r="Q3962" s="366"/>
    </row>
    <row r="3963" spans="16:17" x14ac:dyDescent="0.25">
      <c r="P3963" s="220"/>
      <c r="Q3963" s="366"/>
    </row>
    <row r="3964" spans="16:17" x14ac:dyDescent="0.25">
      <c r="P3964" s="220"/>
      <c r="Q3964" s="366"/>
    </row>
    <row r="3965" spans="16:17" x14ac:dyDescent="0.25">
      <c r="P3965" s="220"/>
      <c r="Q3965" s="366"/>
    </row>
    <row r="3966" spans="16:17" x14ac:dyDescent="0.25">
      <c r="P3966" s="220"/>
      <c r="Q3966" s="366"/>
    </row>
    <row r="3967" spans="16:17" x14ac:dyDescent="0.25">
      <c r="P3967" s="220"/>
      <c r="Q3967" s="366"/>
    </row>
    <row r="3968" spans="16:17" x14ac:dyDescent="0.25">
      <c r="P3968" s="220"/>
      <c r="Q3968" s="366"/>
    </row>
    <row r="3969" spans="16:17" x14ac:dyDescent="0.25">
      <c r="P3969" s="220"/>
      <c r="Q3969" s="366"/>
    </row>
    <row r="3970" spans="16:17" x14ac:dyDescent="0.25">
      <c r="P3970" s="220"/>
      <c r="Q3970" s="366"/>
    </row>
    <row r="3971" spans="16:17" x14ac:dyDescent="0.25">
      <c r="P3971" s="220"/>
      <c r="Q3971" s="366"/>
    </row>
    <row r="3972" spans="16:17" x14ac:dyDescent="0.25">
      <c r="P3972" s="220"/>
      <c r="Q3972" s="366"/>
    </row>
    <row r="3973" spans="16:17" x14ac:dyDescent="0.25">
      <c r="P3973" s="220"/>
      <c r="Q3973" s="366"/>
    </row>
    <row r="3974" spans="16:17" x14ac:dyDescent="0.25">
      <c r="P3974" s="220"/>
      <c r="Q3974" s="366"/>
    </row>
    <row r="3975" spans="16:17" x14ac:dyDescent="0.25">
      <c r="P3975" s="220"/>
      <c r="Q3975" s="366"/>
    </row>
    <row r="3976" spans="16:17" x14ac:dyDescent="0.25">
      <c r="P3976" s="220"/>
      <c r="Q3976" s="366"/>
    </row>
    <row r="3977" spans="16:17" x14ac:dyDescent="0.25">
      <c r="P3977" s="220"/>
      <c r="Q3977" s="366"/>
    </row>
    <row r="3978" spans="16:17" x14ac:dyDescent="0.25">
      <c r="P3978" s="220"/>
      <c r="Q3978" s="366"/>
    </row>
    <row r="3979" spans="16:17" x14ac:dyDescent="0.25">
      <c r="P3979" s="220"/>
      <c r="Q3979" s="366"/>
    </row>
    <row r="3980" spans="16:17" x14ac:dyDescent="0.25">
      <c r="P3980" s="220"/>
      <c r="Q3980" s="366"/>
    </row>
    <row r="3981" spans="16:17" x14ac:dyDescent="0.25">
      <c r="P3981" s="220"/>
      <c r="Q3981" s="366"/>
    </row>
    <row r="3982" spans="16:17" x14ac:dyDescent="0.25">
      <c r="P3982" s="220"/>
      <c r="Q3982" s="366"/>
    </row>
    <row r="3983" spans="16:17" x14ac:dyDescent="0.25">
      <c r="P3983" s="220"/>
      <c r="Q3983" s="366"/>
    </row>
    <row r="3984" spans="16:17" x14ac:dyDescent="0.25">
      <c r="P3984" s="220"/>
      <c r="Q3984" s="366"/>
    </row>
    <row r="3985" spans="16:17" x14ac:dyDescent="0.25">
      <c r="P3985" s="220"/>
      <c r="Q3985" s="366"/>
    </row>
    <row r="3986" spans="16:17" x14ac:dyDescent="0.25">
      <c r="P3986" s="220"/>
      <c r="Q3986" s="366"/>
    </row>
    <row r="3987" spans="16:17" x14ac:dyDescent="0.25">
      <c r="P3987" s="220"/>
      <c r="Q3987" s="366"/>
    </row>
    <row r="3988" spans="16:17" x14ac:dyDescent="0.25">
      <c r="P3988" s="220"/>
      <c r="Q3988" s="366"/>
    </row>
    <row r="3989" spans="16:17" x14ac:dyDescent="0.25">
      <c r="P3989" s="220"/>
      <c r="Q3989" s="366"/>
    </row>
    <row r="3990" spans="16:17" x14ac:dyDescent="0.25">
      <c r="P3990" s="220"/>
      <c r="Q3990" s="366"/>
    </row>
    <row r="3991" spans="16:17" x14ac:dyDescent="0.25">
      <c r="P3991" s="220"/>
      <c r="Q3991" s="366"/>
    </row>
    <row r="3992" spans="16:17" x14ac:dyDescent="0.25">
      <c r="P3992" s="220"/>
      <c r="Q3992" s="366"/>
    </row>
    <row r="3993" spans="16:17" x14ac:dyDescent="0.25">
      <c r="P3993" s="220"/>
      <c r="Q3993" s="366"/>
    </row>
    <row r="3994" spans="16:17" x14ac:dyDescent="0.25">
      <c r="P3994" s="220"/>
      <c r="Q3994" s="366"/>
    </row>
    <row r="3995" spans="16:17" x14ac:dyDescent="0.25">
      <c r="P3995" s="220"/>
      <c r="Q3995" s="366"/>
    </row>
    <row r="3996" spans="16:17" x14ac:dyDescent="0.25">
      <c r="P3996" s="220"/>
      <c r="Q3996" s="366"/>
    </row>
    <row r="3997" spans="16:17" x14ac:dyDescent="0.25">
      <c r="P3997" s="220"/>
      <c r="Q3997" s="366"/>
    </row>
    <row r="3998" spans="16:17" x14ac:dyDescent="0.25">
      <c r="P3998" s="220"/>
      <c r="Q3998" s="366"/>
    </row>
    <row r="3999" spans="16:17" x14ac:dyDescent="0.25">
      <c r="P3999" s="220"/>
      <c r="Q3999" s="366"/>
    </row>
    <row r="4000" spans="16:17" x14ac:dyDescent="0.25">
      <c r="P4000" s="220"/>
      <c r="Q4000" s="366"/>
    </row>
    <row r="4001" spans="16:17" x14ac:dyDescent="0.25">
      <c r="P4001" s="220"/>
      <c r="Q4001" s="366"/>
    </row>
    <row r="4002" spans="16:17" x14ac:dyDescent="0.25">
      <c r="P4002" s="220"/>
      <c r="Q4002" s="366"/>
    </row>
    <row r="4003" spans="16:17" x14ac:dyDescent="0.25">
      <c r="P4003" s="220"/>
      <c r="Q4003" s="366"/>
    </row>
    <row r="4004" spans="16:17" x14ac:dyDescent="0.25">
      <c r="P4004" s="220"/>
      <c r="Q4004" s="366"/>
    </row>
    <row r="4005" spans="16:17" x14ac:dyDescent="0.25">
      <c r="P4005" s="220"/>
      <c r="Q4005" s="366"/>
    </row>
    <row r="4006" spans="16:17" x14ac:dyDescent="0.25">
      <c r="P4006" s="220"/>
      <c r="Q4006" s="366"/>
    </row>
    <row r="4007" spans="16:17" x14ac:dyDescent="0.25">
      <c r="P4007" s="220"/>
      <c r="Q4007" s="366"/>
    </row>
    <row r="4008" spans="16:17" x14ac:dyDescent="0.25">
      <c r="P4008" s="220"/>
      <c r="Q4008" s="366"/>
    </row>
    <row r="4009" spans="16:17" x14ac:dyDescent="0.25">
      <c r="P4009" s="220"/>
      <c r="Q4009" s="366"/>
    </row>
    <row r="4010" spans="16:17" x14ac:dyDescent="0.25">
      <c r="P4010" s="220"/>
      <c r="Q4010" s="366"/>
    </row>
    <row r="4011" spans="16:17" x14ac:dyDescent="0.25">
      <c r="P4011" s="220"/>
      <c r="Q4011" s="366"/>
    </row>
    <row r="4012" spans="16:17" x14ac:dyDescent="0.25">
      <c r="P4012" s="220"/>
      <c r="Q4012" s="366"/>
    </row>
    <row r="4013" spans="16:17" x14ac:dyDescent="0.25">
      <c r="P4013" s="220"/>
      <c r="Q4013" s="366"/>
    </row>
    <row r="4014" spans="16:17" x14ac:dyDescent="0.25">
      <c r="P4014" s="220"/>
      <c r="Q4014" s="366"/>
    </row>
    <row r="4015" spans="16:17" x14ac:dyDescent="0.25">
      <c r="P4015" s="220"/>
      <c r="Q4015" s="366"/>
    </row>
    <row r="4016" spans="16:17" x14ac:dyDescent="0.25">
      <c r="P4016" s="220"/>
      <c r="Q4016" s="366"/>
    </row>
    <row r="4017" spans="16:17" x14ac:dyDescent="0.25">
      <c r="P4017" s="220"/>
      <c r="Q4017" s="366"/>
    </row>
    <row r="4018" spans="16:17" x14ac:dyDescent="0.25">
      <c r="P4018" s="220"/>
      <c r="Q4018" s="366"/>
    </row>
    <row r="4019" spans="16:17" x14ac:dyDescent="0.25">
      <c r="P4019" s="220"/>
      <c r="Q4019" s="366"/>
    </row>
    <row r="4020" spans="16:17" x14ac:dyDescent="0.25">
      <c r="P4020" s="220"/>
      <c r="Q4020" s="366"/>
    </row>
    <row r="4021" spans="16:17" x14ac:dyDescent="0.25">
      <c r="P4021" s="220"/>
      <c r="Q4021" s="366"/>
    </row>
    <row r="4022" spans="16:17" x14ac:dyDescent="0.25">
      <c r="P4022" s="220"/>
      <c r="Q4022" s="366"/>
    </row>
    <row r="4023" spans="16:17" x14ac:dyDescent="0.25">
      <c r="P4023" s="220"/>
      <c r="Q4023" s="366"/>
    </row>
    <row r="4024" spans="16:17" x14ac:dyDescent="0.25">
      <c r="P4024" s="220"/>
      <c r="Q4024" s="366"/>
    </row>
    <row r="4025" spans="16:17" x14ac:dyDescent="0.25">
      <c r="P4025" s="220"/>
      <c r="Q4025" s="366"/>
    </row>
    <row r="4026" spans="16:17" x14ac:dyDescent="0.25">
      <c r="P4026" s="220"/>
      <c r="Q4026" s="366"/>
    </row>
    <row r="4027" spans="16:17" x14ac:dyDescent="0.25">
      <c r="P4027" s="220"/>
      <c r="Q4027" s="366"/>
    </row>
    <row r="4028" spans="16:17" x14ac:dyDescent="0.25">
      <c r="P4028" s="220"/>
      <c r="Q4028" s="366"/>
    </row>
    <row r="4029" spans="16:17" x14ac:dyDescent="0.25">
      <c r="P4029" s="220"/>
      <c r="Q4029" s="366"/>
    </row>
    <row r="4030" spans="16:17" x14ac:dyDescent="0.25">
      <c r="P4030" s="220"/>
      <c r="Q4030" s="366"/>
    </row>
    <row r="4031" spans="16:17" x14ac:dyDescent="0.25">
      <c r="P4031" s="220"/>
      <c r="Q4031" s="366"/>
    </row>
    <row r="4032" spans="16:17" x14ac:dyDescent="0.25">
      <c r="P4032" s="220"/>
      <c r="Q4032" s="366"/>
    </row>
    <row r="4033" spans="16:17" x14ac:dyDescent="0.25">
      <c r="P4033" s="220"/>
      <c r="Q4033" s="366"/>
    </row>
    <row r="4034" spans="16:17" x14ac:dyDescent="0.25">
      <c r="P4034" s="220"/>
      <c r="Q4034" s="366"/>
    </row>
    <row r="4035" spans="16:17" x14ac:dyDescent="0.25">
      <c r="P4035" s="220"/>
      <c r="Q4035" s="366"/>
    </row>
    <row r="4036" spans="16:17" x14ac:dyDescent="0.25">
      <c r="P4036" s="220"/>
      <c r="Q4036" s="366"/>
    </row>
    <row r="4037" spans="16:17" x14ac:dyDescent="0.25">
      <c r="P4037" s="220"/>
      <c r="Q4037" s="366"/>
    </row>
    <row r="4038" spans="16:17" x14ac:dyDescent="0.25">
      <c r="P4038" s="220"/>
      <c r="Q4038" s="366"/>
    </row>
    <row r="4039" spans="16:17" x14ac:dyDescent="0.25">
      <c r="P4039" s="220"/>
      <c r="Q4039" s="366"/>
    </row>
    <row r="4040" spans="16:17" x14ac:dyDescent="0.25">
      <c r="P4040" s="220"/>
      <c r="Q4040" s="366"/>
    </row>
    <row r="4041" spans="16:17" x14ac:dyDescent="0.25">
      <c r="P4041" s="220"/>
      <c r="Q4041" s="366"/>
    </row>
    <row r="4042" spans="16:17" x14ac:dyDescent="0.25">
      <c r="P4042" s="220"/>
      <c r="Q4042" s="366"/>
    </row>
    <row r="4043" spans="16:17" x14ac:dyDescent="0.25">
      <c r="P4043" s="220"/>
      <c r="Q4043" s="366"/>
    </row>
    <row r="4044" spans="16:17" x14ac:dyDescent="0.25">
      <c r="P4044" s="220"/>
      <c r="Q4044" s="366"/>
    </row>
    <row r="4045" spans="16:17" x14ac:dyDescent="0.25">
      <c r="P4045" s="220"/>
      <c r="Q4045" s="366"/>
    </row>
    <row r="4046" spans="16:17" x14ac:dyDescent="0.25">
      <c r="P4046" s="220"/>
      <c r="Q4046" s="366"/>
    </row>
    <row r="4047" spans="16:17" x14ac:dyDescent="0.25">
      <c r="P4047" s="220"/>
      <c r="Q4047" s="366"/>
    </row>
    <row r="4048" spans="16:17" x14ac:dyDescent="0.25">
      <c r="P4048" s="220"/>
      <c r="Q4048" s="366"/>
    </row>
    <row r="4049" spans="16:17" x14ac:dyDescent="0.25">
      <c r="P4049" s="220"/>
      <c r="Q4049" s="366"/>
    </row>
    <row r="4050" spans="16:17" x14ac:dyDescent="0.25">
      <c r="P4050" s="220"/>
      <c r="Q4050" s="366"/>
    </row>
    <row r="4051" spans="16:17" x14ac:dyDescent="0.25">
      <c r="P4051" s="220"/>
      <c r="Q4051" s="366"/>
    </row>
    <row r="4052" spans="16:17" x14ac:dyDescent="0.25">
      <c r="P4052" s="220"/>
      <c r="Q4052" s="366"/>
    </row>
    <row r="4053" spans="16:17" x14ac:dyDescent="0.25">
      <c r="P4053" s="220"/>
      <c r="Q4053" s="366"/>
    </row>
    <row r="4054" spans="16:17" x14ac:dyDescent="0.25">
      <c r="P4054" s="220"/>
      <c r="Q4054" s="366"/>
    </row>
    <row r="4055" spans="16:17" x14ac:dyDescent="0.25">
      <c r="P4055" s="220"/>
      <c r="Q4055" s="366"/>
    </row>
    <row r="4056" spans="16:17" x14ac:dyDescent="0.25">
      <c r="P4056" s="220"/>
      <c r="Q4056" s="366"/>
    </row>
    <row r="4057" spans="16:17" x14ac:dyDescent="0.25">
      <c r="P4057" s="220"/>
      <c r="Q4057" s="366"/>
    </row>
    <row r="4058" spans="16:17" x14ac:dyDescent="0.25">
      <c r="P4058" s="220"/>
      <c r="Q4058" s="366"/>
    </row>
    <row r="4059" spans="16:17" x14ac:dyDescent="0.25">
      <c r="P4059" s="220"/>
      <c r="Q4059" s="366"/>
    </row>
    <row r="4060" spans="16:17" x14ac:dyDescent="0.25">
      <c r="P4060" s="220"/>
      <c r="Q4060" s="366"/>
    </row>
    <row r="4061" spans="16:17" x14ac:dyDescent="0.25">
      <c r="P4061" s="220"/>
      <c r="Q4061" s="366"/>
    </row>
    <row r="4062" spans="16:17" x14ac:dyDescent="0.25">
      <c r="P4062" s="220"/>
      <c r="Q4062" s="366"/>
    </row>
    <row r="4063" spans="16:17" x14ac:dyDescent="0.25">
      <c r="P4063" s="220"/>
      <c r="Q4063" s="366"/>
    </row>
    <row r="4064" spans="16:17" x14ac:dyDescent="0.25">
      <c r="P4064" s="220"/>
      <c r="Q4064" s="366"/>
    </row>
    <row r="4065" spans="16:17" x14ac:dyDescent="0.25">
      <c r="P4065" s="220"/>
      <c r="Q4065" s="366"/>
    </row>
    <row r="4066" spans="16:17" x14ac:dyDescent="0.25">
      <c r="P4066" s="220"/>
      <c r="Q4066" s="366"/>
    </row>
    <row r="4067" spans="16:17" x14ac:dyDescent="0.25">
      <c r="P4067" s="220"/>
      <c r="Q4067" s="366"/>
    </row>
    <row r="4068" spans="16:17" x14ac:dyDescent="0.25">
      <c r="P4068" s="220"/>
      <c r="Q4068" s="366"/>
    </row>
    <row r="4069" spans="16:17" x14ac:dyDescent="0.25">
      <c r="P4069" s="220"/>
      <c r="Q4069" s="366"/>
    </row>
    <row r="4070" spans="16:17" x14ac:dyDescent="0.25">
      <c r="P4070" s="220"/>
      <c r="Q4070" s="366"/>
    </row>
    <row r="4071" spans="16:17" x14ac:dyDescent="0.25">
      <c r="P4071" s="220"/>
      <c r="Q4071" s="366"/>
    </row>
    <row r="4072" spans="16:17" x14ac:dyDescent="0.25">
      <c r="P4072" s="220"/>
      <c r="Q4072" s="366"/>
    </row>
    <row r="4073" spans="16:17" x14ac:dyDescent="0.25">
      <c r="P4073" s="220"/>
      <c r="Q4073" s="366"/>
    </row>
    <row r="4074" spans="16:17" x14ac:dyDescent="0.25">
      <c r="P4074" s="220"/>
      <c r="Q4074" s="366"/>
    </row>
    <row r="4075" spans="16:17" x14ac:dyDescent="0.25">
      <c r="P4075" s="220"/>
      <c r="Q4075" s="366"/>
    </row>
    <row r="4076" spans="16:17" x14ac:dyDescent="0.25">
      <c r="P4076" s="220"/>
      <c r="Q4076" s="366"/>
    </row>
    <row r="4077" spans="16:17" x14ac:dyDescent="0.25">
      <c r="P4077" s="220"/>
      <c r="Q4077" s="366"/>
    </row>
    <row r="4078" spans="16:17" x14ac:dyDescent="0.25">
      <c r="P4078" s="220"/>
      <c r="Q4078" s="366"/>
    </row>
    <row r="4079" spans="16:17" x14ac:dyDescent="0.25">
      <c r="P4079" s="220"/>
      <c r="Q4079" s="366"/>
    </row>
    <row r="4080" spans="16:17" x14ac:dyDescent="0.25">
      <c r="P4080" s="220"/>
      <c r="Q4080" s="366"/>
    </row>
    <row r="4081" spans="16:17" x14ac:dyDescent="0.25">
      <c r="P4081" s="220"/>
      <c r="Q4081" s="366"/>
    </row>
    <row r="4082" spans="16:17" x14ac:dyDescent="0.25">
      <c r="P4082" s="220"/>
      <c r="Q4082" s="366"/>
    </row>
    <row r="4083" spans="16:17" x14ac:dyDescent="0.25">
      <c r="P4083" s="220"/>
      <c r="Q4083" s="366"/>
    </row>
    <row r="4084" spans="16:17" x14ac:dyDescent="0.25">
      <c r="P4084" s="220"/>
      <c r="Q4084" s="366"/>
    </row>
    <row r="4085" spans="16:17" x14ac:dyDescent="0.25">
      <c r="P4085" s="220"/>
      <c r="Q4085" s="366"/>
    </row>
    <row r="4086" spans="16:17" x14ac:dyDescent="0.25">
      <c r="P4086" s="220"/>
      <c r="Q4086" s="366"/>
    </row>
    <row r="4087" spans="16:17" x14ac:dyDescent="0.25">
      <c r="P4087" s="220"/>
      <c r="Q4087" s="366"/>
    </row>
    <row r="4088" spans="16:17" x14ac:dyDescent="0.25">
      <c r="P4088" s="220"/>
      <c r="Q4088" s="366"/>
    </row>
    <row r="4089" spans="16:17" x14ac:dyDescent="0.25">
      <c r="P4089" s="220"/>
      <c r="Q4089" s="366"/>
    </row>
    <row r="4090" spans="16:17" x14ac:dyDescent="0.25">
      <c r="P4090" s="220"/>
      <c r="Q4090" s="366"/>
    </row>
    <row r="4091" spans="16:17" x14ac:dyDescent="0.25">
      <c r="P4091" s="220"/>
      <c r="Q4091" s="366"/>
    </row>
    <row r="4092" spans="16:17" x14ac:dyDescent="0.25">
      <c r="P4092" s="220"/>
      <c r="Q4092" s="366"/>
    </row>
    <row r="4093" spans="16:17" x14ac:dyDescent="0.25">
      <c r="P4093" s="220"/>
      <c r="Q4093" s="366"/>
    </row>
    <row r="4094" spans="16:17" x14ac:dyDescent="0.25">
      <c r="P4094" s="220"/>
      <c r="Q4094" s="366"/>
    </row>
    <row r="4095" spans="16:17" x14ac:dyDescent="0.25">
      <c r="P4095" s="220"/>
      <c r="Q4095" s="366"/>
    </row>
    <row r="4096" spans="16:17" x14ac:dyDescent="0.25">
      <c r="P4096" s="220"/>
      <c r="Q4096" s="366"/>
    </row>
    <row r="4097" spans="16:17" x14ac:dyDescent="0.25">
      <c r="P4097" s="220"/>
      <c r="Q4097" s="366"/>
    </row>
    <row r="4098" spans="16:17" x14ac:dyDescent="0.25">
      <c r="P4098" s="220"/>
      <c r="Q4098" s="366"/>
    </row>
    <row r="4099" spans="16:17" x14ac:dyDescent="0.25">
      <c r="P4099" s="220"/>
      <c r="Q4099" s="366"/>
    </row>
    <row r="4100" spans="16:17" x14ac:dyDescent="0.25">
      <c r="P4100" s="220"/>
      <c r="Q4100" s="366"/>
    </row>
    <row r="4101" spans="16:17" x14ac:dyDescent="0.25">
      <c r="P4101" s="220"/>
      <c r="Q4101" s="366"/>
    </row>
    <row r="4102" spans="16:17" x14ac:dyDescent="0.25">
      <c r="P4102" s="220"/>
      <c r="Q4102" s="366"/>
    </row>
    <row r="4103" spans="16:17" x14ac:dyDescent="0.25">
      <c r="P4103" s="220"/>
      <c r="Q4103" s="366"/>
    </row>
    <row r="4104" spans="16:17" x14ac:dyDescent="0.25">
      <c r="P4104" s="220"/>
      <c r="Q4104" s="366"/>
    </row>
    <row r="4105" spans="16:17" x14ac:dyDescent="0.25">
      <c r="P4105" s="220"/>
      <c r="Q4105" s="366"/>
    </row>
    <row r="4106" spans="16:17" x14ac:dyDescent="0.25">
      <c r="P4106" s="220"/>
      <c r="Q4106" s="366"/>
    </row>
    <row r="4107" spans="16:17" x14ac:dyDescent="0.25">
      <c r="P4107" s="220"/>
      <c r="Q4107" s="366"/>
    </row>
    <row r="4108" spans="16:17" x14ac:dyDescent="0.25">
      <c r="P4108" s="220"/>
      <c r="Q4108" s="366"/>
    </row>
    <row r="4109" spans="16:17" x14ac:dyDescent="0.25">
      <c r="P4109" s="220"/>
      <c r="Q4109" s="366"/>
    </row>
    <row r="4110" spans="16:17" x14ac:dyDescent="0.25">
      <c r="P4110" s="220"/>
      <c r="Q4110" s="366"/>
    </row>
    <row r="4111" spans="16:17" x14ac:dyDescent="0.25">
      <c r="P4111" s="220"/>
      <c r="Q4111" s="366"/>
    </row>
    <row r="4112" spans="16:17" x14ac:dyDescent="0.25">
      <c r="P4112" s="220"/>
      <c r="Q4112" s="366"/>
    </row>
    <row r="4113" spans="16:17" x14ac:dyDescent="0.25">
      <c r="P4113" s="220"/>
      <c r="Q4113" s="366"/>
    </row>
    <row r="4114" spans="16:17" x14ac:dyDescent="0.25">
      <c r="P4114" s="220"/>
      <c r="Q4114" s="366"/>
    </row>
    <row r="4115" spans="16:17" x14ac:dyDescent="0.25">
      <c r="P4115" s="220"/>
      <c r="Q4115" s="366"/>
    </row>
    <row r="4116" spans="16:17" x14ac:dyDescent="0.25">
      <c r="P4116" s="220"/>
      <c r="Q4116" s="366"/>
    </row>
    <row r="4117" spans="16:17" x14ac:dyDescent="0.25">
      <c r="P4117" s="220"/>
      <c r="Q4117" s="366"/>
    </row>
    <row r="4118" spans="16:17" x14ac:dyDescent="0.25">
      <c r="P4118" s="220"/>
      <c r="Q4118" s="366"/>
    </row>
    <row r="4119" spans="16:17" x14ac:dyDescent="0.25">
      <c r="P4119" s="220"/>
      <c r="Q4119" s="366"/>
    </row>
    <row r="4120" spans="16:17" x14ac:dyDescent="0.25">
      <c r="P4120" s="220"/>
      <c r="Q4120" s="366"/>
    </row>
    <row r="4121" spans="16:17" x14ac:dyDescent="0.25">
      <c r="P4121" s="220"/>
      <c r="Q4121" s="366"/>
    </row>
    <row r="4122" spans="16:17" x14ac:dyDescent="0.25">
      <c r="P4122" s="220"/>
      <c r="Q4122" s="366"/>
    </row>
    <row r="4123" spans="16:17" x14ac:dyDescent="0.25">
      <c r="P4123" s="220"/>
      <c r="Q4123" s="366"/>
    </row>
    <row r="4124" spans="16:17" x14ac:dyDescent="0.25">
      <c r="P4124" s="220"/>
      <c r="Q4124" s="366"/>
    </row>
    <row r="4125" spans="16:17" x14ac:dyDescent="0.25">
      <c r="P4125" s="220"/>
      <c r="Q4125" s="366"/>
    </row>
    <row r="4126" spans="16:17" x14ac:dyDescent="0.25">
      <c r="P4126" s="220"/>
      <c r="Q4126" s="366"/>
    </row>
    <row r="4127" spans="16:17" x14ac:dyDescent="0.25">
      <c r="P4127" s="220"/>
      <c r="Q4127" s="366"/>
    </row>
    <row r="4128" spans="16:17" x14ac:dyDescent="0.25">
      <c r="P4128" s="220"/>
      <c r="Q4128" s="366"/>
    </row>
    <row r="4129" spans="16:17" x14ac:dyDescent="0.25">
      <c r="P4129" s="220"/>
      <c r="Q4129" s="366"/>
    </row>
    <row r="4130" spans="16:17" x14ac:dyDescent="0.25">
      <c r="P4130" s="220"/>
      <c r="Q4130" s="366"/>
    </row>
    <row r="4131" spans="16:17" x14ac:dyDescent="0.25">
      <c r="P4131" s="220"/>
      <c r="Q4131" s="366"/>
    </row>
    <row r="4132" spans="16:17" x14ac:dyDescent="0.25">
      <c r="P4132" s="220"/>
      <c r="Q4132" s="366"/>
    </row>
    <row r="4133" spans="16:17" x14ac:dyDescent="0.25">
      <c r="P4133" s="220"/>
      <c r="Q4133" s="366"/>
    </row>
    <row r="4134" spans="16:17" x14ac:dyDescent="0.25">
      <c r="P4134" s="220"/>
      <c r="Q4134" s="366"/>
    </row>
    <row r="4135" spans="16:17" x14ac:dyDescent="0.25">
      <c r="P4135" s="220"/>
      <c r="Q4135" s="366"/>
    </row>
    <row r="4136" spans="16:17" x14ac:dyDescent="0.25">
      <c r="P4136" s="220"/>
      <c r="Q4136" s="366"/>
    </row>
    <row r="4137" spans="16:17" x14ac:dyDescent="0.25">
      <c r="P4137" s="220"/>
      <c r="Q4137" s="366"/>
    </row>
    <row r="4138" spans="16:17" x14ac:dyDescent="0.25">
      <c r="P4138" s="220"/>
      <c r="Q4138" s="366"/>
    </row>
    <row r="4139" spans="16:17" x14ac:dyDescent="0.25">
      <c r="P4139" s="220"/>
      <c r="Q4139" s="366"/>
    </row>
    <row r="4140" spans="16:17" x14ac:dyDescent="0.25">
      <c r="P4140" s="220"/>
      <c r="Q4140" s="366"/>
    </row>
    <row r="4141" spans="16:17" x14ac:dyDescent="0.25">
      <c r="P4141" s="220"/>
      <c r="Q4141" s="366"/>
    </row>
    <row r="4142" spans="16:17" x14ac:dyDescent="0.25">
      <c r="P4142" s="220"/>
      <c r="Q4142" s="366"/>
    </row>
    <row r="4143" spans="16:17" x14ac:dyDescent="0.25">
      <c r="P4143" s="220"/>
      <c r="Q4143" s="366"/>
    </row>
    <row r="4144" spans="16:17" x14ac:dyDescent="0.25">
      <c r="P4144" s="220"/>
      <c r="Q4144" s="366"/>
    </row>
    <row r="4145" spans="16:17" x14ac:dyDescent="0.25">
      <c r="P4145" s="220"/>
      <c r="Q4145" s="366"/>
    </row>
    <row r="4146" spans="16:17" x14ac:dyDescent="0.25">
      <c r="P4146" s="220"/>
      <c r="Q4146" s="366"/>
    </row>
    <row r="4147" spans="16:17" x14ac:dyDescent="0.25">
      <c r="P4147" s="220"/>
      <c r="Q4147" s="366"/>
    </row>
    <row r="4148" spans="16:17" x14ac:dyDescent="0.25">
      <c r="P4148" s="220"/>
      <c r="Q4148" s="366"/>
    </row>
    <row r="4149" spans="16:17" x14ac:dyDescent="0.25">
      <c r="P4149" s="220"/>
      <c r="Q4149" s="366"/>
    </row>
    <row r="4150" spans="16:17" x14ac:dyDescent="0.25">
      <c r="P4150" s="220"/>
      <c r="Q4150" s="366"/>
    </row>
    <row r="4151" spans="16:17" x14ac:dyDescent="0.25">
      <c r="P4151" s="220"/>
      <c r="Q4151" s="366"/>
    </row>
    <row r="4152" spans="16:17" x14ac:dyDescent="0.25">
      <c r="P4152" s="220"/>
      <c r="Q4152" s="366"/>
    </row>
    <row r="4153" spans="16:17" x14ac:dyDescent="0.25">
      <c r="P4153" s="220"/>
      <c r="Q4153" s="366"/>
    </row>
    <row r="4154" spans="16:17" x14ac:dyDescent="0.25">
      <c r="P4154" s="220"/>
      <c r="Q4154" s="366"/>
    </row>
    <row r="4155" spans="16:17" x14ac:dyDescent="0.25">
      <c r="P4155" s="220"/>
      <c r="Q4155" s="366"/>
    </row>
    <row r="4156" spans="16:17" x14ac:dyDescent="0.25">
      <c r="P4156" s="220"/>
      <c r="Q4156" s="366"/>
    </row>
    <row r="4157" spans="16:17" x14ac:dyDescent="0.25">
      <c r="P4157" s="220"/>
      <c r="Q4157" s="366"/>
    </row>
    <row r="4158" spans="16:17" x14ac:dyDescent="0.25">
      <c r="P4158" s="220"/>
      <c r="Q4158" s="366"/>
    </row>
    <row r="4159" spans="16:17" x14ac:dyDescent="0.25">
      <c r="P4159" s="220"/>
      <c r="Q4159" s="366"/>
    </row>
    <row r="4160" spans="16:17" x14ac:dyDescent="0.25">
      <c r="P4160" s="220"/>
      <c r="Q4160" s="366"/>
    </row>
    <row r="4161" spans="16:17" x14ac:dyDescent="0.25">
      <c r="P4161" s="220"/>
      <c r="Q4161" s="366"/>
    </row>
    <row r="4162" spans="16:17" x14ac:dyDescent="0.25">
      <c r="P4162" s="220"/>
      <c r="Q4162" s="366"/>
    </row>
    <row r="4163" spans="16:17" x14ac:dyDescent="0.25">
      <c r="P4163" s="220"/>
      <c r="Q4163" s="366"/>
    </row>
    <row r="4164" spans="16:17" x14ac:dyDescent="0.25">
      <c r="P4164" s="220"/>
      <c r="Q4164" s="366"/>
    </row>
    <row r="4165" spans="16:17" x14ac:dyDescent="0.25">
      <c r="P4165" s="220"/>
      <c r="Q4165" s="366"/>
    </row>
    <row r="4166" spans="16:17" x14ac:dyDescent="0.25">
      <c r="P4166" s="220"/>
      <c r="Q4166" s="366"/>
    </row>
    <row r="4167" spans="16:17" x14ac:dyDescent="0.25">
      <c r="P4167" s="220"/>
      <c r="Q4167" s="366"/>
    </row>
    <row r="4168" spans="16:17" x14ac:dyDescent="0.25">
      <c r="P4168" s="220"/>
      <c r="Q4168" s="366"/>
    </row>
    <row r="4169" spans="16:17" x14ac:dyDescent="0.25">
      <c r="P4169" s="220"/>
      <c r="Q4169" s="366"/>
    </row>
    <row r="4170" spans="16:17" x14ac:dyDescent="0.25">
      <c r="P4170" s="220"/>
      <c r="Q4170" s="366"/>
    </row>
    <row r="4171" spans="16:17" x14ac:dyDescent="0.25">
      <c r="P4171" s="220"/>
      <c r="Q4171" s="366"/>
    </row>
    <row r="4172" spans="16:17" x14ac:dyDescent="0.25">
      <c r="P4172" s="220"/>
      <c r="Q4172" s="366"/>
    </row>
    <row r="4173" spans="16:17" x14ac:dyDescent="0.25">
      <c r="P4173" s="220"/>
      <c r="Q4173" s="366"/>
    </row>
    <row r="4174" spans="16:17" x14ac:dyDescent="0.25">
      <c r="P4174" s="220"/>
      <c r="Q4174" s="366"/>
    </row>
    <row r="4175" spans="16:17" x14ac:dyDescent="0.25">
      <c r="P4175" s="220"/>
      <c r="Q4175" s="366"/>
    </row>
    <row r="4176" spans="16:17" x14ac:dyDescent="0.25">
      <c r="P4176" s="220"/>
      <c r="Q4176" s="366"/>
    </row>
    <row r="4177" spans="16:17" x14ac:dyDescent="0.25">
      <c r="P4177" s="220"/>
      <c r="Q4177" s="366"/>
    </row>
    <row r="4178" spans="16:17" x14ac:dyDescent="0.25">
      <c r="P4178" s="220"/>
      <c r="Q4178" s="366"/>
    </row>
    <row r="4179" spans="16:17" x14ac:dyDescent="0.25">
      <c r="P4179" s="220"/>
      <c r="Q4179" s="366"/>
    </row>
    <row r="4180" spans="16:17" x14ac:dyDescent="0.25">
      <c r="P4180" s="220"/>
      <c r="Q4180" s="366"/>
    </row>
    <row r="4181" spans="16:17" x14ac:dyDescent="0.25">
      <c r="P4181" s="220"/>
      <c r="Q4181" s="366"/>
    </row>
    <row r="4182" spans="16:17" x14ac:dyDescent="0.25">
      <c r="P4182" s="220"/>
      <c r="Q4182" s="366"/>
    </row>
    <row r="4183" spans="16:17" x14ac:dyDescent="0.25">
      <c r="P4183" s="220"/>
      <c r="Q4183" s="366"/>
    </row>
    <row r="4184" spans="16:17" x14ac:dyDescent="0.25">
      <c r="P4184" s="220"/>
      <c r="Q4184" s="366"/>
    </row>
    <row r="4185" spans="16:17" x14ac:dyDescent="0.25">
      <c r="P4185" s="220"/>
      <c r="Q4185" s="366"/>
    </row>
    <row r="4186" spans="16:17" x14ac:dyDescent="0.25">
      <c r="P4186" s="220"/>
      <c r="Q4186" s="366"/>
    </row>
    <row r="4187" spans="16:17" x14ac:dyDescent="0.25">
      <c r="P4187" s="220"/>
      <c r="Q4187" s="366"/>
    </row>
    <row r="4188" spans="16:17" x14ac:dyDescent="0.25">
      <c r="P4188" s="220"/>
      <c r="Q4188" s="366"/>
    </row>
    <row r="4189" spans="16:17" x14ac:dyDescent="0.25">
      <c r="P4189" s="220"/>
      <c r="Q4189" s="366"/>
    </row>
    <row r="4190" spans="16:17" x14ac:dyDescent="0.25">
      <c r="P4190" s="220"/>
      <c r="Q4190" s="366"/>
    </row>
    <row r="4191" spans="16:17" x14ac:dyDescent="0.25">
      <c r="P4191" s="220"/>
      <c r="Q4191" s="366"/>
    </row>
    <row r="4192" spans="16:17" x14ac:dyDescent="0.25">
      <c r="P4192" s="220"/>
      <c r="Q4192" s="366"/>
    </row>
    <row r="4193" spans="16:17" x14ac:dyDescent="0.25">
      <c r="P4193" s="220"/>
      <c r="Q4193" s="366"/>
    </row>
    <row r="4194" spans="16:17" x14ac:dyDescent="0.25">
      <c r="P4194" s="220"/>
      <c r="Q4194" s="366"/>
    </row>
    <row r="4195" spans="16:17" x14ac:dyDescent="0.25">
      <c r="P4195" s="220"/>
      <c r="Q4195" s="366"/>
    </row>
    <row r="4196" spans="16:17" x14ac:dyDescent="0.25">
      <c r="P4196" s="220"/>
      <c r="Q4196" s="366"/>
    </row>
    <row r="4197" spans="16:17" x14ac:dyDescent="0.25">
      <c r="P4197" s="220"/>
      <c r="Q4197" s="366"/>
    </row>
    <row r="4198" spans="16:17" x14ac:dyDescent="0.25">
      <c r="P4198" s="220"/>
      <c r="Q4198" s="366"/>
    </row>
    <row r="4199" spans="16:17" x14ac:dyDescent="0.25">
      <c r="P4199" s="220"/>
      <c r="Q4199" s="366"/>
    </row>
    <row r="4200" spans="16:17" x14ac:dyDescent="0.25">
      <c r="P4200" s="220"/>
      <c r="Q4200" s="366"/>
    </row>
    <row r="4201" spans="16:17" x14ac:dyDescent="0.25">
      <c r="P4201" s="220"/>
      <c r="Q4201" s="366"/>
    </row>
    <row r="4202" spans="16:17" x14ac:dyDescent="0.25">
      <c r="P4202" s="220"/>
      <c r="Q4202" s="366"/>
    </row>
    <row r="4203" spans="16:17" x14ac:dyDescent="0.25">
      <c r="P4203" s="220"/>
      <c r="Q4203" s="366"/>
    </row>
    <row r="4204" spans="16:17" x14ac:dyDescent="0.25">
      <c r="P4204" s="220"/>
      <c r="Q4204" s="366"/>
    </row>
    <row r="4205" spans="16:17" x14ac:dyDescent="0.25">
      <c r="P4205" s="220"/>
      <c r="Q4205" s="366"/>
    </row>
    <row r="4206" spans="16:17" x14ac:dyDescent="0.25">
      <c r="P4206" s="220"/>
      <c r="Q4206" s="366"/>
    </row>
    <row r="4207" spans="16:17" x14ac:dyDescent="0.25">
      <c r="P4207" s="220"/>
      <c r="Q4207" s="366"/>
    </row>
    <row r="4208" spans="16:17" x14ac:dyDescent="0.25">
      <c r="P4208" s="220"/>
      <c r="Q4208" s="366"/>
    </row>
    <row r="4209" spans="16:17" x14ac:dyDescent="0.25">
      <c r="P4209" s="220"/>
      <c r="Q4209" s="366"/>
    </row>
    <row r="4210" spans="16:17" x14ac:dyDescent="0.25">
      <c r="P4210" s="220"/>
      <c r="Q4210" s="366"/>
    </row>
    <row r="4211" spans="16:17" x14ac:dyDescent="0.25">
      <c r="P4211" s="220"/>
      <c r="Q4211" s="366"/>
    </row>
    <row r="4212" spans="16:17" x14ac:dyDescent="0.25">
      <c r="P4212" s="220"/>
      <c r="Q4212" s="366"/>
    </row>
    <row r="4213" spans="16:17" x14ac:dyDescent="0.25">
      <c r="P4213" s="220"/>
      <c r="Q4213" s="366"/>
    </row>
    <row r="4214" spans="16:17" x14ac:dyDescent="0.25">
      <c r="P4214" s="220"/>
      <c r="Q4214" s="366"/>
    </row>
    <row r="4215" spans="16:17" x14ac:dyDescent="0.25">
      <c r="P4215" s="220"/>
      <c r="Q4215" s="366"/>
    </row>
    <row r="4216" spans="16:17" x14ac:dyDescent="0.25">
      <c r="P4216" s="220"/>
      <c r="Q4216" s="366"/>
    </row>
    <row r="4217" spans="16:17" x14ac:dyDescent="0.25">
      <c r="P4217" s="220"/>
      <c r="Q4217" s="366"/>
    </row>
    <row r="4218" spans="16:17" x14ac:dyDescent="0.25">
      <c r="P4218" s="220"/>
      <c r="Q4218" s="366"/>
    </row>
    <row r="4219" spans="16:17" x14ac:dyDescent="0.25">
      <c r="P4219" s="220"/>
      <c r="Q4219" s="366"/>
    </row>
    <row r="4220" spans="16:17" x14ac:dyDescent="0.25">
      <c r="P4220" s="220"/>
      <c r="Q4220" s="366"/>
    </row>
    <row r="4221" spans="16:17" x14ac:dyDescent="0.25">
      <c r="P4221" s="220"/>
      <c r="Q4221" s="366"/>
    </row>
    <row r="4222" spans="16:17" x14ac:dyDescent="0.25">
      <c r="P4222" s="220"/>
      <c r="Q4222" s="366"/>
    </row>
    <row r="4223" spans="16:17" x14ac:dyDescent="0.25">
      <c r="P4223" s="220"/>
      <c r="Q4223" s="366"/>
    </row>
    <row r="4224" spans="16:17" x14ac:dyDescent="0.25">
      <c r="P4224" s="220"/>
      <c r="Q4224" s="366"/>
    </row>
    <row r="4225" spans="16:17" x14ac:dyDescent="0.25">
      <c r="P4225" s="220"/>
      <c r="Q4225" s="366"/>
    </row>
    <row r="4226" spans="16:17" x14ac:dyDescent="0.25">
      <c r="P4226" s="220"/>
      <c r="Q4226" s="366"/>
    </row>
    <row r="4227" spans="16:17" x14ac:dyDescent="0.25">
      <c r="P4227" s="220"/>
      <c r="Q4227" s="366"/>
    </row>
    <row r="4228" spans="16:17" x14ac:dyDescent="0.25">
      <c r="P4228" s="220"/>
      <c r="Q4228" s="366"/>
    </row>
    <row r="4229" spans="16:17" x14ac:dyDescent="0.25">
      <c r="P4229" s="220"/>
      <c r="Q4229" s="366"/>
    </row>
    <row r="4230" spans="16:17" x14ac:dyDescent="0.25">
      <c r="P4230" s="220"/>
      <c r="Q4230" s="366"/>
    </row>
    <row r="4231" spans="16:17" x14ac:dyDescent="0.25">
      <c r="P4231" s="220"/>
      <c r="Q4231" s="366"/>
    </row>
    <row r="4232" spans="16:17" x14ac:dyDescent="0.25">
      <c r="P4232" s="220"/>
      <c r="Q4232" s="366"/>
    </row>
    <row r="4233" spans="16:17" x14ac:dyDescent="0.25">
      <c r="P4233" s="220"/>
      <c r="Q4233" s="366"/>
    </row>
    <row r="4234" spans="16:17" x14ac:dyDescent="0.25">
      <c r="P4234" s="220"/>
      <c r="Q4234" s="366"/>
    </row>
    <row r="4235" spans="16:17" x14ac:dyDescent="0.25">
      <c r="P4235" s="220"/>
      <c r="Q4235" s="366"/>
    </row>
    <row r="4236" spans="16:17" x14ac:dyDescent="0.25">
      <c r="P4236" s="220"/>
      <c r="Q4236" s="366"/>
    </row>
    <row r="4237" spans="16:17" x14ac:dyDescent="0.25">
      <c r="P4237" s="220"/>
      <c r="Q4237" s="366"/>
    </row>
    <row r="4238" spans="16:17" x14ac:dyDescent="0.25">
      <c r="P4238" s="220"/>
      <c r="Q4238" s="366"/>
    </row>
    <row r="4239" spans="16:17" x14ac:dyDescent="0.25">
      <c r="P4239" s="220"/>
      <c r="Q4239" s="366"/>
    </row>
    <row r="4240" spans="16:17" x14ac:dyDescent="0.25">
      <c r="P4240" s="220"/>
      <c r="Q4240" s="366"/>
    </row>
    <row r="4241" spans="16:17" x14ac:dyDescent="0.25">
      <c r="P4241" s="220"/>
      <c r="Q4241" s="366"/>
    </row>
    <row r="4242" spans="16:17" x14ac:dyDescent="0.25">
      <c r="P4242" s="220"/>
      <c r="Q4242" s="366"/>
    </row>
    <row r="4243" spans="16:17" x14ac:dyDescent="0.25">
      <c r="P4243" s="220"/>
      <c r="Q4243" s="366"/>
    </row>
    <row r="4244" spans="16:17" x14ac:dyDescent="0.25">
      <c r="P4244" s="220"/>
      <c r="Q4244" s="366"/>
    </row>
    <row r="4245" spans="16:17" x14ac:dyDescent="0.25">
      <c r="P4245" s="220"/>
      <c r="Q4245" s="366"/>
    </row>
    <row r="4246" spans="16:17" x14ac:dyDescent="0.25">
      <c r="P4246" s="220"/>
      <c r="Q4246" s="366"/>
    </row>
    <row r="4247" spans="16:17" x14ac:dyDescent="0.25">
      <c r="P4247" s="220"/>
      <c r="Q4247" s="366"/>
    </row>
    <row r="4248" spans="16:17" x14ac:dyDescent="0.25">
      <c r="P4248" s="220"/>
      <c r="Q4248" s="366"/>
    </row>
    <row r="4249" spans="16:17" x14ac:dyDescent="0.25">
      <c r="P4249" s="220"/>
      <c r="Q4249" s="366"/>
    </row>
    <row r="4250" spans="16:17" x14ac:dyDescent="0.25">
      <c r="P4250" s="220"/>
      <c r="Q4250" s="366"/>
    </row>
    <row r="4251" spans="16:17" x14ac:dyDescent="0.25">
      <c r="P4251" s="220"/>
      <c r="Q4251" s="366"/>
    </row>
    <row r="4252" spans="16:17" x14ac:dyDescent="0.25">
      <c r="P4252" s="220"/>
      <c r="Q4252" s="366"/>
    </row>
    <row r="4253" spans="16:17" x14ac:dyDescent="0.25">
      <c r="P4253" s="220"/>
      <c r="Q4253" s="366"/>
    </row>
    <row r="4254" spans="16:17" x14ac:dyDescent="0.25">
      <c r="P4254" s="220"/>
      <c r="Q4254" s="366"/>
    </row>
    <row r="4255" spans="16:17" x14ac:dyDescent="0.25">
      <c r="P4255" s="220"/>
      <c r="Q4255" s="366"/>
    </row>
    <row r="4256" spans="16:17" x14ac:dyDescent="0.25">
      <c r="P4256" s="220"/>
      <c r="Q4256" s="366"/>
    </row>
    <row r="4257" spans="16:17" x14ac:dyDescent="0.25">
      <c r="P4257" s="220"/>
      <c r="Q4257" s="366"/>
    </row>
    <row r="4258" spans="16:17" x14ac:dyDescent="0.25">
      <c r="P4258" s="220"/>
      <c r="Q4258" s="366"/>
    </row>
    <row r="4259" spans="16:17" x14ac:dyDescent="0.25">
      <c r="P4259" s="220"/>
      <c r="Q4259" s="366"/>
    </row>
    <row r="4260" spans="16:17" x14ac:dyDescent="0.25">
      <c r="P4260" s="220"/>
      <c r="Q4260" s="366"/>
    </row>
    <row r="4261" spans="16:17" x14ac:dyDescent="0.25">
      <c r="P4261" s="220"/>
      <c r="Q4261" s="366"/>
    </row>
    <row r="4262" spans="16:17" x14ac:dyDescent="0.25">
      <c r="P4262" s="220"/>
      <c r="Q4262" s="366"/>
    </row>
    <row r="4263" spans="16:17" x14ac:dyDescent="0.25">
      <c r="P4263" s="220"/>
      <c r="Q4263" s="366"/>
    </row>
    <row r="4264" spans="16:17" x14ac:dyDescent="0.25">
      <c r="P4264" s="220"/>
      <c r="Q4264" s="366"/>
    </row>
    <row r="4265" spans="16:17" x14ac:dyDescent="0.25">
      <c r="P4265" s="220"/>
      <c r="Q4265" s="366"/>
    </row>
    <row r="4266" spans="16:17" x14ac:dyDescent="0.25">
      <c r="P4266" s="220"/>
      <c r="Q4266" s="366"/>
    </row>
    <row r="4267" spans="16:17" x14ac:dyDescent="0.25">
      <c r="P4267" s="220"/>
      <c r="Q4267" s="366"/>
    </row>
    <row r="4268" spans="16:17" x14ac:dyDescent="0.25">
      <c r="P4268" s="220"/>
      <c r="Q4268" s="366"/>
    </row>
    <row r="4269" spans="16:17" x14ac:dyDescent="0.25">
      <c r="P4269" s="220"/>
      <c r="Q4269" s="366"/>
    </row>
    <row r="4270" spans="16:17" x14ac:dyDescent="0.25">
      <c r="P4270" s="220"/>
      <c r="Q4270" s="366"/>
    </row>
    <row r="4271" spans="16:17" x14ac:dyDescent="0.25">
      <c r="P4271" s="220"/>
      <c r="Q4271" s="366"/>
    </row>
    <row r="4272" spans="16:17" x14ac:dyDescent="0.25">
      <c r="P4272" s="220"/>
      <c r="Q4272" s="366"/>
    </row>
    <row r="4273" spans="16:17" x14ac:dyDescent="0.25">
      <c r="P4273" s="220"/>
      <c r="Q4273" s="366"/>
    </row>
    <row r="4274" spans="16:17" x14ac:dyDescent="0.25">
      <c r="P4274" s="220"/>
      <c r="Q4274" s="366"/>
    </row>
    <row r="4275" spans="16:17" x14ac:dyDescent="0.25">
      <c r="P4275" s="220"/>
      <c r="Q4275" s="366"/>
    </row>
    <row r="4276" spans="16:17" x14ac:dyDescent="0.25">
      <c r="P4276" s="220"/>
      <c r="Q4276" s="366"/>
    </row>
    <row r="4277" spans="16:17" x14ac:dyDescent="0.25">
      <c r="P4277" s="220"/>
      <c r="Q4277" s="366"/>
    </row>
    <row r="4278" spans="16:17" x14ac:dyDescent="0.25">
      <c r="P4278" s="220"/>
      <c r="Q4278" s="366"/>
    </row>
    <row r="4279" spans="16:17" x14ac:dyDescent="0.25">
      <c r="P4279" s="220"/>
      <c r="Q4279" s="366"/>
    </row>
    <row r="4280" spans="16:17" x14ac:dyDescent="0.25">
      <c r="P4280" s="220"/>
      <c r="Q4280" s="366"/>
    </row>
    <row r="4281" spans="16:17" x14ac:dyDescent="0.25">
      <c r="P4281" s="220"/>
      <c r="Q4281" s="366"/>
    </row>
    <row r="4282" spans="16:17" x14ac:dyDescent="0.25">
      <c r="P4282" s="220"/>
      <c r="Q4282" s="366"/>
    </row>
    <row r="4283" spans="16:17" x14ac:dyDescent="0.25">
      <c r="P4283" s="220"/>
      <c r="Q4283" s="366"/>
    </row>
    <row r="4284" spans="16:17" x14ac:dyDescent="0.25">
      <c r="P4284" s="220"/>
      <c r="Q4284" s="366"/>
    </row>
    <row r="4285" spans="16:17" x14ac:dyDescent="0.25">
      <c r="P4285" s="220"/>
      <c r="Q4285" s="366"/>
    </row>
    <row r="4286" spans="16:17" x14ac:dyDescent="0.25">
      <c r="P4286" s="220"/>
      <c r="Q4286" s="366"/>
    </row>
    <row r="4287" spans="16:17" x14ac:dyDescent="0.25">
      <c r="P4287" s="220"/>
      <c r="Q4287" s="366"/>
    </row>
    <row r="4288" spans="16:17" x14ac:dyDescent="0.25">
      <c r="P4288" s="220"/>
      <c r="Q4288" s="366"/>
    </row>
    <row r="4289" spans="16:17" x14ac:dyDescent="0.25">
      <c r="P4289" s="220"/>
      <c r="Q4289" s="366"/>
    </row>
    <row r="4290" spans="16:17" x14ac:dyDescent="0.25">
      <c r="P4290" s="220"/>
      <c r="Q4290" s="366"/>
    </row>
    <row r="4291" spans="16:17" x14ac:dyDescent="0.25">
      <c r="P4291" s="220"/>
      <c r="Q4291" s="366"/>
    </row>
    <row r="4292" spans="16:17" x14ac:dyDescent="0.25">
      <c r="P4292" s="220"/>
      <c r="Q4292" s="366"/>
    </row>
    <row r="4293" spans="16:17" x14ac:dyDescent="0.25">
      <c r="P4293" s="220"/>
      <c r="Q4293" s="366"/>
    </row>
    <row r="4294" spans="16:17" x14ac:dyDescent="0.25">
      <c r="P4294" s="220"/>
      <c r="Q4294" s="366"/>
    </row>
    <row r="4295" spans="16:17" x14ac:dyDescent="0.25">
      <c r="P4295" s="220"/>
      <c r="Q4295" s="366"/>
    </row>
    <row r="4296" spans="16:17" x14ac:dyDescent="0.25">
      <c r="P4296" s="220"/>
      <c r="Q4296" s="366"/>
    </row>
    <row r="4297" spans="16:17" x14ac:dyDescent="0.25">
      <c r="P4297" s="220"/>
      <c r="Q4297" s="366"/>
    </row>
    <row r="4298" spans="16:17" x14ac:dyDescent="0.25">
      <c r="P4298" s="220"/>
      <c r="Q4298" s="366"/>
    </row>
    <row r="4299" spans="16:17" x14ac:dyDescent="0.25">
      <c r="P4299" s="220"/>
      <c r="Q4299" s="366"/>
    </row>
    <row r="4300" spans="16:17" x14ac:dyDescent="0.25">
      <c r="P4300" s="220"/>
      <c r="Q4300" s="366"/>
    </row>
    <row r="4301" spans="16:17" x14ac:dyDescent="0.25">
      <c r="P4301" s="220"/>
      <c r="Q4301" s="366"/>
    </row>
    <row r="4302" spans="16:17" x14ac:dyDescent="0.25">
      <c r="P4302" s="220"/>
      <c r="Q4302" s="366"/>
    </row>
    <row r="4303" spans="16:17" x14ac:dyDescent="0.25">
      <c r="P4303" s="220"/>
      <c r="Q4303" s="366"/>
    </row>
    <row r="4304" spans="16:17" x14ac:dyDescent="0.25">
      <c r="P4304" s="220"/>
      <c r="Q4304" s="366"/>
    </row>
    <row r="4305" spans="16:17" x14ac:dyDescent="0.25">
      <c r="P4305" s="220"/>
      <c r="Q4305" s="366"/>
    </row>
    <row r="4306" spans="16:17" x14ac:dyDescent="0.25">
      <c r="P4306" s="220"/>
      <c r="Q4306" s="366"/>
    </row>
    <row r="4307" spans="16:17" x14ac:dyDescent="0.25">
      <c r="P4307" s="220"/>
      <c r="Q4307" s="366"/>
    </row>
    <row r="4308" spans="16:17" x14ac:dyDescent="0.25">
      <c r="P4308" s="220"/>
      <c r="Q4308" s="366"/>
    </row>
    <row r="4309" spans="16:17" x14ac:dyDescent="0.25">
      <c r="P4309" s="220"/>
      <c r="Q4309" s="366"/>
    </row>
    <row r="4310" spans="16:17" x14ac:dyDescent="0.25">
      <c r="P4310" s="220"/>
      <c r="Q4310" s="366"/>
    </row>
    <row r="4311" spans="16:17" x14ac:dyDescent="0.25">
      <c r="P4311" s="220"/>
      <c r="Q4311" s="366"/>
    </row>
    <row r="4312" spans="16:17" x14ac:dyDescent="0.25">
      <c r="P4312" s="220"/>
      <c r="Q4312" s="366"/>
    </row>
    <row r="4313" spans="16:17" x14ac:dyDescent="0.25">
      <c r="P4313" s="220"/>
      <c r="Q4313" s="366"/>
    </row>
    <row r="4314" spans="16:17" x14ac:dyDescent="0.25">
      <c r="P4314" s="220"/>
      <c r="Q4314" s="366"/>
    </row>
    <row r="4315" spans="16:17" x14ac:dyDescent="0.25">
      <c r="P4315" s="220"/>
      <c r="Q4315" s="366"/>
    </row>
    <row r="4316" spans="16:17" x14ac:dyDescent="0.25">
      <c r="P4316" s="220"/>
      <c r="Q4316" s="366"/>
    </row>
    <row r="4317" spans="16:17" x14ac:dyDescent="0.25">
      <c r="P4317" s="220"/>
      <c r="Q4317" s="366"/>
    </row>
    <row r="4318" spans="16:17" x14ac:dyDescent="0.25">
      <c r="P4318" s="220"/>
      <c r="Q4318" s="366"/>
    </row>
    <row r="4319" spans="16:17" x14ac:dyDescent="0.25">
      <c r="P4319" s="220"/>
      <c r="Q4319" s="366"/>
    </row>
    <row r="4320" spans="16:17" x14ac:dyDescent="0.25">
      <c r="P4320" s="220"/>
      <c r="Q4320" s="366"/>
    </row>
    <row r="4321" spans="16:17" x14ac:dyDescent="0.25">
      <c r="P4321" s="220"/>
      <c r="Q4321" s="366"/>
    </row>
    <row r="4322" spans="16:17" x14ac:dyDescent="0.25">
      <c r="P4322" s="220"/>
      <c r="Q4322" s="366"/>
    </row>
    <row r="4323" spans="16:17" x14ac:dyDescent="0.25">
      <c r="P4323" s="220"/>
      <c r="Q4323" s="366"/>
    </row>
    <row r="4324" spans="16:17" x14ac:dyDescent="0.25">
      <c r="P4324" s="220"/>
      <c r="Q4324" s="366"/>
    </row>
    <row r="4325" spans="16:17" x14ac:dyDescent="0.25">
      <c r="P4325" s="220"/>
      <c r="Q4325" s="366"/>
    </row>
    <row r="4326" spans="16:17" x14ac:dyDescent="0.25">
      <c r="P4326" s="220"/>
      <c r="Q4326" s="366"/>
    </row>
    <row r="4327" spans="16:17" x14ac:dyDescent="0.25">
      <c r="P4327" s="220"/>
      <c r="Q4327" s="366"/>
    </row>
    <row r="4328" spans="16:17" x14ac:dyDescent="0.25">
      <c r="P4328" s="220"/>
      <c r="Q4328" s="366"/>
    </row>
    <row r="4329" spans="16:17" x14ac:dyDescent="0.25">
      <c r="P4329" s="220"/>
      <c r="Q4329" s="366"/>
    </row>
    <row r="4330" spans="16:17" x14ac:dyDescent="0.25">
      <c r="P4330" s="220"/>
      <c r="Q4330" s="366"/>
    </row>
    <row r="4331" spans="16:17" x14ac:dyDescent="0.25">
      <c r="P4331" s="220"/>
      <c r="Q4331" s="366"/>
    </row>
    <row r="4332" spans="16:17" x14ac:dyDescent="0.25">
      <c r="P4332" s="220"/>
      <c r="Q4332" s="366"/>
    </row>
    <row r="4333" spans="16:17" x14ac:dyDescent="0.25">
      <c r="P4333" s="220"/>
      <c r="Q4333" s="366"/>
    </row>
    <row r="4334" spans="16:17" x14ac:dyDescent="0.25">
      <c r="P4334" s="220"/>
      <c r="Q4334" s="366"/>
    </row>
    <row r="4335" spans="16:17" x14ac:dyDescent="0.25">
      <c r="P4335" s="220"/>
      <c r="Q4335" s="366"/>
    </row>
    <row r="4336" spans="16:17" x14ac:dyDescent="0.25">
      <c r="P4336" s="220"/>
      <c r="Q4336" s="366"/>
    </row>
    <row r="4337" spans="16:17" x14ac:dyDescent="0.25">
      <c r="P4337" s="220"/>
      <c r="Q4337" s="366"/>
    </row>
    <row r="4338" spans="16:17" x14ac:dyDescent="0.25">
      <c r="P4338" s="220"/>
      <c r="Q4338" s="366"/>
    </row>
    <row r="4339" spans="16:17" x14ac:dyDescent="0.25">
      <c r="P4339" s="220"/>
      <c r="Q4339" s="366"/>
    </row>
    <row r="4340" spans="16:17" x14ac:dyDescent="0.25">
      <c r="P4340" s="220"/>
      <c r="Q4340" s="366"/>
    </row>
    <row r="4341" spans="16:17" x14ac:dyDescent="0.25">
      <c r="P4341" s="220"/>
      <c r="Q4341" s="366"/>
    </row>
    <row r="4342" spans="16:17" x14ac:dyDescent="0.25">
      <c r="P4342" s="220"/>
      <c r="Q4342" s="366"/>
    </row>
    <row r="4343" spans="16:17" x14ac:dyDescent="0.25">
      <c r="P4343" s="220"/>
      <c r="Q4343" s="366"/>
    </row>
    <row r="4344" spans="16:17" x14ac:dyDescent="0.25">
      <c r="P4344" s="220"/>
      <c r="Q4344" s="366"/>
    </row>
    <row r="4345" spans="16:17" x14ac:dyDescent="0.25">
      <c r="P4345" s="220"/>
      <c r="Q4345" s="366"/>
    </row>
    <row r="4346" spans="16:17" x14ac:dyDescent="0.25">
      <c r="P4346" s="220"/>
      <c r="Q4346" s="366"/>
    </row>
    <row r="4347" spans="16:17" x14ac:dyDescent="0.25">
      <c r="P4347" s="220"/>
      <c r="Q4347" s="366"/>
    </row>
    <row r="4348" spans="16:17" x14ac:dyDescent="0.25">
      <c r="P4348" s="220"/>
      <c r="Q4348" s="366"/>
    </row>
    <row r="4349" spans="16:17" x14ac:dyDescent="0.25">
      <c r="P4349" s="220"/>
      <c r="Q4349" s="366"/>
    </row>
    <row r="4350" spans="16:17" x14ac:dyDescent="0.25">
      <c r="P4350" s="220"/>
      <c r="Q4350" s="366"/>
    </row>
    <row r="4351" spans="16:17" x14ac:dyDescent="0.25">
      <c r="P4351" s="220"/>
      <c r="Q4351" s="366"/>
    </row>
    <row r="4352" spans="16:17" x14ac:dyDescent="0.25">
      <c r="P4352" s="220"/>
      <c r="Q4352" s="366"/>
    </row>
    <row r="4353" spans="16:17" x14ac:dyDescent="0.25">
      <c r="P4353" s="220"/>
      <c r="Q4353" s="366"/>
    </row>
    <row r="4354" spans="16:17" x14ac:dyDescent="0.25">
      <c r="P4354" s="220"/>
      <c r="Q4354" s="366"/>
    </row>
    <row r="4355" spans="16:17" x14ac:dyDescent="0.25">
      <c r="P4355" s="220"/>
      <c r="Q4355" s="366"/>
    </row>
    <row r="4356" spans="16:17" x14ac:dyDescent="0.25">
      <c r="P4356" s="220"/>
      <c r="Q4356" s="366"/>
    </row>
    <row r="4357" spans="16:17" x14ac:dyDescent="0.25">
      <c r="P4357" s="220"/>
      <c r="Q4357" s="366"/>
    </row>
    <row r="4358" spans="16:17" x14ac:dyDescent="0.25">
      <c r="P4358" s="220"/>
      <c r="Q4358" s="366"/>
    </row>
    <row r="4359" spans="16:17" x14ac:dyDescent="0.25">
      <c r="P4359" s="220"/>
      <c r="Q4359" s="366"/>
    </row>
    <row r="4360" spans="16:17" x14ac:dyDescent="0.25">
      <c r="P4360" s="220"/>
      <c r="Q4360" s="366"/>
    </row>
    <row r="4361" spans="16:17" x14ac:dyDescent="0.25">
      <c r="P4361" s="220"/>
      <c r="Q4361" s="366"/>
    </row>
    <row r="4362" spans="16:17" x14ac:dyDescent="0.25">
      <c r="P4362" s="220"/>
      <c r="Q4362" s="366"/>
    </row>
    <row r="4363" spans="16:17" x14ac:dyDescent="0.25">
      <c r="P4363" s="220"/>
      <c r="Q4363" s="366"/>
    </row>
    <row r="4364" spans="16:17" x14ac:dyDescent="0.25">
      <c r="P4364" s="220"/>
      <c r="Q4364" s="366"/>
    </row>
    <row r="4365" spans="16:17" x14ac:dyDescent="0.25">
      <c r="P4365" s="220"/>
      <c r="Q4365" s="366"/>
    </row>
    <row r="4366" spans="16:17" x14ac:dyDescent="0.25">
      <c r="P4366" s="220"/>
      <c r="Q4366" s="366"/>
    </row>
    <row r="4367" spans="16:17" x14ac:dyDescent="0.25">
      <c r="P4367" s="220"/>
      <c r="Q4367" s="366"/>
    </row>
    <row r="4368" spans="16:17" x14ac:dyDescent="0.25">
      <c r="P4368" s="220"/>
      <c r="Q4368" s="366"/>
    </row>
    <row r="4369" spans="16:17" x14ac:dyDescent="0.25">
      <c r="P4369" s="220"/>
      <c r="Q4369" s="366"/>
    </row>
    <row r="4370" spans="16:17" x14ac:dyDescent="0.25">
      <c r="P4370" s="220"/>
      <c r="Q4370" s="366"/>
    </row>
    <row r="4371" spans="16:17" x14ac:dyDescent="0.25">
      <c r="P4371" s="220"/>
      <c r="Q4371" s="366"/>
    </row>
    <row r="4372" spans="16:17" x14ac:dyDescent="0.25">
      <c r="P4372" s="220"/>
      <c r="Q4372" s="366"/>
    </row>
    <row r="4373" spans="16:17" x14ac:dyDescent="0.25">
      <c r="P4373" s="220"/>
      <c r="Q4373" s="366"/>
    </row>
    <row r="4374" spans="16:17" x14ac:dyDescent="0.25">
      <c r="P4374" s="220"/>
      <c r="Q4374" s="366"/>
    </row>
    <row r="4375" spans="16:17" x14ac:dyDescent="0.25">
      <c r="P4375" s="220"/>
      <c r="Q4375" s="366"/>
    </row>
    <row r="4376" spans="16:17" x14ac:dyDescent="0.25">
      <c r="P4376" s="220"/>
      <c r="Q4376" s="366"/>
    </row>
    <row r="4377" spans="16:17" x14ac:dyDescent="0.25">
      <c r="P4377" s="220"/>
      <c r="Q4377" s="366"/>
    </row>
    <row r="4378" spans="16:17" x14ac:dyDescent="0.25">
      <c r="P4378" s="220"/>
      <c r="Q4378" s="366"/>
    </row>
    <row r="4379" spans="16:17" x14ac:dyDescent="0.25">
      <c r="P4379" s="220"/>
      <c r="Q4379" s="366"/>
    </row>
    <row r="4380" spans="16:17" x14ac:dyDescent="0.25">
      <c r="P4380" s="220"/>
      <c r="Q4380" s="366"/>
    </row>
    <row r="4381" spans="16:17" x14ac:dyDescent="0.25">
      <c r="P4381" s="220"/>
      <c r="Q4381" s="366"/>
    </row>
    <row r="4382" spans="16:17" x14ac:dyDescent="0.25">
      <c r="P4382" s="220"/>
      <c r="Q4382" s="366"/>
    </row>
    <row r="4383" spans="16:17" x14ac:dyDescent="0.25">
      <c r="P4383" s="220"/>
      <c r="Q4383" s="366"/>
    </row>
    <row r="4384" spans="16:17" x14ac:dyDescent="0.25">
      <c r="P4384" s="220"/>
      <c r="Q4384" s="366"/>
    </row>
    <row r="4385" spans="16:17" x14ac:dyDescent="0.25">
      <c r="P4385" s="220"/>
      <c r="Q4385" s="366"/>
    </row>
    <row r="4386" spans="16:17" x14ac:dyDescent="0.25">
      <c r="P4386" s="220"/>
      <c r="Q4386" s="366"/>
    </row>
    <row r="4387" spans="16:17" x14ac:dyDescent="0.25">
      <c r="P4387" s="220"/>
      <c r="Q4387" s="366"/>
    </row>
    <row r="4388" spans="16:17" x14ac:dyDescent="0.25">
      <c r="P4388" s="220"/>
      <c r="Q4388" s="366"/>
    </row>
    <row r="4389" spans="16:17" x14ac:dyDescent="0.25">
      <c r="P4389" s="220"/>
      <c r="Q4389" s="366"/>
    </row>
    <row r="4390" spans="16:17" x14ac:dyDescent="0.25">
      <c r="P4390" s="220"/>
      <c r="Q4390" s="366"/>
    </row>
    <row r="4391" spans="16:17" x14ac:dyDescent="0.25">
      <c r="P4391" s="220"/>
      <c r="Q4391" s="366"/>
    </row>
    <row r="4392" spans="16:17" x14ac:dyDescent="0.25">
      <c r="P4392" s="220"/>
      <c r="Q4392" s="366"/>
    </row>
    <row r="4393" spans="16:17" x14ac:dyDescent="0.25">
      <c r="P4393" s="220"/>
      <c r="Q4393" s="366"/>
    </row>
    <row r="4394" spans="16:17" x14ac:dyDescent="0.25">
      <c r="P4394" s="220"/>
      <c r="Q4394" s="366"/>
    </row>
    <row r="4395" spans="16:17" x14ac:dyDescent="0.25">
      <c r="P4395" s="220"/>
      <c r="Q4395" s="366"/>
    </row>
    <row r="4396" spans="16:17" x14ac:dyDescent="0.25">
      <c r="P4396" s="220"/>
      <c r="Q4396" s="366"/>
    </row>
    <row r="4397" spans="16:17" x14ac:dyDescent="0.25">
      <c r="P4397" s="220"/>
      <c r="Q4397" s="366"/>
    </row>
    <row r="4398" spans="16:17" x14ac:dyDescent="0.25">
      <c r="P4398" s="220"/>
      <c r="Q4398" s="366"/>
    </row>
    <row r="4399" spans="16:17" x14ac:dyDescent="0.25">
      <c r="P4399" s="220"/>
      <c r="Q4399" s="366"/>
    </row>
    <row r="4400" spans="16:17" x14ac:dyDescent="0.25">
      <c r="P4400" s="220"/>
      <c r="Q4400" s="366"/>
    </row>
    <row r="4401" spans="16:17" x14ac:dyDescent="0.25">
      <c r="P4401" s="220"/>
      <c r="Q4401" s="366"/>
    </row>
    <row r="4402" spans="16:17" x14ac:dyDescent="0.25">
      <c r="P4402" s="220"/>
      <c r="Q4402" s="366"/>
    </row>
    <row r="4403" spans="16:17" x14ac:dyDescent="0.25">
      <c r="P4403" s="220"/>
      <c r="Q4403" s="366"/>
    </row>
    <row r="4404" spans="16:17" x14ac:dyDescent="0.25">
      <c r="P4404" s="220"/>
      <c r="Q4404" s="366"/>
    </row>
    <row r="4405" spans="16:17" x14ac:dyDescent="0.25">
      <c r="P4405" s="220"/>
      <c r="Q4405" s="366"/>
    </row>
    <row r="4406" spans="16:17" x14ac:dyDescent="0.25">
      <c r="P4406" s="220"/>
      <c r="Q4406" s="366"/>
    </row>
    <row r="4407" spans="16:17" x14ac:dyDescent="0.25">
      <c r="P4407" s="220"/>
      <c r="Q4407" s="366"/>
    </row>
    <row r="4408" spans="16:17" x14ac:dyDescent="0.25">
      <c r="P4408" s="220"/>
      <c r="Q4408" s="366"/>
    </row>
    <row r="4409" spans="16:17" x14ac:dyDescent="0.25">
      <c r="P4409" s="220"/>
      <c r="Q4409" s="366"/>
    </row>
    <row r="4410" spans="16:17" x14ac:dyDescent="0.25">
      <c r="P4410" s="220"/>
      <c r="Q4410" s="366"/>
    </row>
    <row r="4411" spans="16:17" x14ac:dyDescent="0.25">
      <c r="P4411" s="220"/>
      <c r="Q4411" s="366"/>
    </row>
    <row r="4412" spans="16:17" x14ac:dyDescent="0.25">
      <c r="P4412" s="220"/>
      <c r="Q4412" s="366"/>
    </row>
    <row r="4413" spans="16:17" x14ac:dyDescent="0.25">
      <c r="P4413" s="220"/>
      <c r="Q4413" s="366"/>
    </row>
    <row r="4414" spans="16:17" x14ac:dyDescent="0.25">
      <c r="P4414" s="220"/>
      <c r="Q4414" s="366"/>
    </row>
    <row r="4415" spans="16:17" x14ac:dyDescent="0.25">
      <c r="P4415" s="220"/>
      <c r="Q4415" s="366"/>
    </row>
    <row r="4416" spans="16:17" x14ac:dyDescent="0.25">
      <c r="P4416" s="220"/>
      <c r="Q4416" s="366"/>
    </row>
    <row r="4417" spans="16:17" x14ac:dyDescent="0.25">
      <c r="P4417" s="220"/>
      <c r="Q4417" s="366"/>
    </row>
    <row r="4418" spans="16:17" x14ac:dyDescent="0.25">
      <c r="P4418" s="220"/>
      <c r="Q4418" s="366"/>
    </row>
    <row r="4419" spans="16:17" x14ac:dyDescent="0.25">
      <c r="P4419" s="220"/>
      <c r="Q4419" s="366"/>
    </row>
    <row r="4420" spans="16:17" x14ac:dyDescent="0.25">
      <c r="P4420" s="220"/>
      <c r="Q4420" s="366"/>
    </row>
    <row r="4421" spans="16:17" x14ac:dyDescent="0.25">
      <c r="P4421" s="220"/>
      <c r="Q4421" s="366"/>
    </row>
    <row r="4422" spans="16:17" x14ac:dyDescent="0.25">
      <c r="P4422" s="220"/>
      <c r="Q4422" s="366"/>
    </row>
    <row r="4423" spans="16:17" x14ac:dyDescent="0.25">
      <c r="P4423" s="220"/>
      <c r="Q4423" s="366"/>
    </row>
    <row r="4424" spans="16:17" x14ac:dyDescent="0.25">
      <c r="P4424" s="220"/>
      <c r="Q4424" s="366"/>
    </row>
    <row r="4425" spans="16:17" x14ac:dyDescent="0.25">
      <c r="P4425" s="220"/>
      <c r="Q4425" s="366"/>
    </row>
    <row r="4426" spans="16:17" x14ac:dyDescent="0.25">
      <c r="P4426" s="220"/>
      <c r="Q4426" s="366"/>
    </row>
    <row r="4427" spans="16:17" x14ac:dyDescent="0.25">
      <c r="P4427" s="220"/>
      <c r="Q4427" s="366"/>
    </row>
    <row r="4428" spans="16:17" x14ac:dyDescent="0.25">
      <c r="P4428" s="220"/>
      <c r="Q4428" s="366"/>
    </row>
    <row r="4429" spans="16:17" x14ac:dyDescent="0.25">
      <c r="P4429" s="220"/>
      <c r="Q4429" s="366"/>
    </row>
    <row r="4430" spans="16:17" x14ac:dyDescent="0.25">
      <c r="P4430" s="220"/>
      <c r="Q4430" s="366"/>
    </row>
    <row r="4431" spans="16:17" x14ac:dyDescent="0.25">
      <c r="P4431" s="220"/>
      <c r="Q4431" s="366"/>
    </row>
    <row r="4432" spans="16:17" x14ac:dyDescent="0.25">
      <c r="P4432" s="220"/>
      <c r="Q4432" s="366"/>
    </row>
    <row r="4433" spans="16:17" x14ac:dyDescent="0.25">
      <c r="P4433" s="220"/>
      <c r="Q4433" s="366"/>
    </row>
    <row r="4434" spans="16:17" x14ac:dyDescent="0.25">
      <c r="P4434" s="220"/>
      <c r="Q4434" s="366"/>
    </row>
    <row r="4435" spans="16:17" x14ac:dyDescent="0.25">
      <c r="P4435" s="220"/>
      <c r="Q4435" s="366"/>
    </row>
    <row r="4436" spans="16:17" x14ac:dyDescent="0.25">
      <c r="P4436" s="220"/>
      <c r="Q4436" s="366"/>
    </row>
    <row r="4437" spans="16:17" x14ac:dyDescent="0.25">
      <c r="P4437" s="220"/>
      <c r="Q4437" s="366"/>
    </row>
    <row r="4438" spans="16:17" x14ac:dyDescent="0.25">
      <c r="P4438" s="220"/>
      <c r="Q4438" s="366"/>
    </row>
    <row r="4439" spans="16:17" x14ac:dyDescent="0.25">
      <c r="P4439" s="220"/>
      <c r="Q4439" s="366"/>
    </row>
    <row r="4440" spans="16:17" x14ac:dyDescent="0.25">
      <c r="P4440" s="220"/>
      <c r="Q4440" s="366"/>
    </row>
    <row r="4441" spans="16:17" x14ac:dyDescent="0.25">
      <c r="P4441" s="220"/>
      <c r="Q4441" s="366"/>
    </row>
    <row r="4442" spans="16:17" x14ac:dyDescent="0.25">
      <c r="P4442" s="220"/>
      <c r="Q4442" s="366"/>
    </row>
    <row r="4443" spans="16:17" x14ac:dyDescent="0.25">
      <c r="P4443" s="220"/>
      <c r="Q4443" s="366"/>
    </row>
    <row r="4444" spans="16:17" x14ac:dyDescent="0.25">
      <c r="P4444" s="220"/>
      <c r="Q4444" s="366"/>
    </row>
    <row r="4445" spans="16:17" x14ac:dyDescent="0.25">
      <c r="P4445" s="220"/>
      <c r="Q4445" s="366"/>
    </row>
    <row r="4446" spans="16:17" x14ac:dyDescent="0.25">
      <c r="P4446" s="220"/>
      <c r="Q4446" s="366"/>
    </row>
    <row r="4447" spans="16:17" x14ac:dyDescent="0.25">
      <c r="P4447" s="220"/>
      <c r="Q4447" s="366"/>
    </row>
    <row r="4448" spans="16:17" x14ac:dyDescent="0.25">
      <c r="P4448" s="220"/>
      <c r="Q4448" s="366"/>
    </row>
    <row r="4449" spans="16:17" x14ac:dyDescent="0.25">
      <c r="P4449" s="220"/>
      <c r="Q4449" s="366"/>
    </row>
    <row r="4450" spans="16:17" x14ac:dyDescent="0.25">
      <c r="P4450" s="220"/>
      <c r="Q4450" s="366"/>
    </row>
    <row r="4451" spans="16:17" x14ac:dyDescent="0.25">
      <c r="P4451" s="220"/>
      <c r="Q4451" s="366"/>
    </row>
    <row r="4452" spans="16:17" x14ac:dyDescent="0.25">
      <c r="P4452" s="220"/>
      <c r="Q4452" s="366"/>
    </row>
    <row r="4453" spans="16:17" x14ac:dyDescent="0.25">
      <c r="P4453" s="220"/>
      <c r="Q4453" s="366"/>
    </row>
    <row r="4454" spans="16:17" x14ac:dyDescent="0.25">
      <c r="P4454" s="220"/>
      <c r="Q4454" s="366"/>
    </row>
    <row r="4455" spans="16:17" x14ac:dyDescent="0.25">
      <c r="P4455" s="220"/>
      <c r="Q4455" s="366"/>
    </row>
    <row r="4456" spans="16:17" x14ac:dyDescent="0.25">
      <c r="P4456" s="220"/>
      <c r="Q4456" s="366"/>
    </row>
    <row r="4457" spans="16:17" x14ac:dyDescent="0.25">
      <c r="P4457" s="220"/>
      <c r="Q4457" s="366"/>
    </row>
    <row r="4458" spans="16:17" x14ac:dyDescent="0.25">
      <c r="P4458" s="220"/>
      <c r="Q4458" s="366"/>
    </row>
    <row r="4459" spans="16:17" x14ac:dyDescent="0.25">
      <c r="P4459" s="220"/>
      <c r="Q4459" s="366"/>
    </row>
    <row r="4460" spans="16:17" x14ac:dyDescent="0.25">
      <c r="P4460" s="220"/>
      <c r="Q4460" s="366"/>
    </row>
    <row r="4461" spans="16:17" x14ac:dyDescent="0.25">
      <c r="P4461" s="220"/>
      <c r="Q4461" s="366"/>
    </row>
    <row r="4462" spans="16:17" x14ac:dyDescent="0.25">
      <c r="P4462" s="220"/>
      <c r="Q4462" s="366"/>
    </row>
    <row r="4463" spans="16:17" x14ac:dyDescent="0.25">
      <c r="P4463" s="220"/>
      <c r="Q4463" s="366"/>
    </row>
    <row r="4464" spans="16:17" x14ac:dyDescent="0.25">
      <c r="P4464" s="220"/>
      <c r="Q4464" s="366"/>
    </row>
    <row r="4465" spans="16:17" x14ac:dyDescent="0.25">
      <c r="P4465" s="220"/>
      <c r="Q4465" s="366"/>
    </row>
    <row r="4466" spans="16:17" x14ac:dyDescent="0.25">
      <c r="P4466" s="220"/>
      <c r="Q4466" s="366"/>
    </row>
    <row r="4467" spans="16:17" x14ac:dyDescent="0.25">
      <c r="P4467" s="220"/>
      <c r="Q4467" s="366"/>
    </row>
    <row r="4468" spans="16:17" x14ac:dyDescent="0.25">
      <c r="P4468" s="220"/>
      <c r="Q4468" s="366"/>
    </row>
    <row r="4469" spans="16:17" x14ac:dyDescent="0.25">
      <c r="P4469" s="220"/>
      <c r="Q4469" s="366"/>
    </row>
    <row r="4470" spans="16:17" x14ac:dyDescent="0.25">
      <c r="P4470" s="220"/>
      <c r="Q4470" s="366"/>
    </row>
    <row r="4471" spans="16:17" x14ac:dyDescent="0.25">
      <c r="P4471" s="220"/>
      <c r="Q4471" s="366"/>
    </row>
    <row r="4472" spans="16:17" x14ac:dyDescent="0.25">
      <c r="P4472" s="220"/>
      <c r="Q4472" s="366"/>
    </row>
    <row r="4473" spans="16:17" x14ac:dyDescent="0.25">
      <c r="P4473" s="220"/>
      <c r="Q4473" s="366"/>
    </row>
    <row r="4474" spans="16:17" x14ac:dyDescent="0.25">
      <c r="P4474" s="220"/>
      <c r="Q4474" s="366"/>
    </row>
    <row r="4475" spans="16:17" x14ac:dyDescent="0.25">
      <c r="P4475" s="220"/>
      <c r="Q4475" s="366"/>
    </row>
    <row r="4476" spans="16:17" x14ac:dyDescent="0.25">
      <c r="P4476" s="220"/>
      <c r="Q4476" s="366"/>
    </row>
    <row r="4477" spans="16:17" x14ac:dyDescent="0.25">
      <c r="P4477" s="220"/>
      <c r="Q4477" s="366"/>
    </row>
    <row r="4478" spans="16:17" x14ac:dyDescent="0.25">
      <c r="P4478" s="220"/>
      <c r="Q4478" s="366"/>
    </row>
    <row r="4479" spans="16:17" x14ac:dyDescent="0.25">
      <c r="P4479" s="220"/>
      <c r="Q4479" s="366"/>
    </row>
    <row r="4480" spans="16:17" x14ac:dyDescent="0.25">
      <c r="P4480" s="220"/>
      <c r="Q4480" s="366"/>
    </row>
    <row r="4481" spans="16:17" x14ac:dyDescent="0.25">
      <c r="P4481" s="220"/>
      <c r="Q4481" s="366"/>
    </row>
    <row r="4482" spans="16:17" x14ac:dyDescent="0.25">
      <c r="P4482" s="220"/>
      <c r="Q4482" s="366"/>
    </row>
    <row r="4483" spans="16:17" x14ac:dyDescent="0.25">
      <c r="P4483" s="220"/>
      <c r="Q4483" s="366"/>
    </row>
    <row r="4484" spans="16:17" x14ac:dyDescent="0.25">
      <c r="P4484" s="220"/>
      <c r="Q4484" s="366"/>
    </row>
    <row r="4485" spans="16:17" x14ac:dyDescent="0.25">
      <c r="P4485" s="220"/>
      <c r="Q4485" s="366"/>
    </row>
    <row r="4486" spans="16:17" x14ac:dyDescent="0.25">
      <c r="P4486" s="220"/>
      <c r="Q4486" s="366"/>
    </row>
    <row r="4487" spans="16:17" x14ac:dyDescent="0.25">
      <c r="P4487" s="220"/>
      <c r="Q4487" s="366"/>
    </row>
    <row r="4488" spans="16:17" x14ac:dyDescent="0.25">
      <c r="P4488" s="220"/>
      <c r="Q4488" s="366"/>
    </row>
    <row r="4489" spans="16:17" x14ac:dyDescent="0.25">
      <c r="P4489" s="220"/>
      <c r="Q4489" s="366"/>
    </row>
    <row r="4490" spans="16:17" x14ac:dyDescent="0.25">
      <c r="P4490" s="220"/>
      <c r="Q4490" s="366"/>
    </row>
    <row r="4491" spans="16:17" x14ac:dyDescent="0.25">
      <c r="P4491" s="220"/>
      <c r="Q4491" s="366"/>
    </row>
    <row r="4492" spans="16:17" x14ac:dyDescent="0.25">
      <c r="P4492" s="220"/>
      <c r="Q4492" s="366"/>
    </row>
    <row r="4493" spans="16:17" x14ac:dyDescent="0.25">
      <c r="P4493" s="220"/>
      <c r="Q4493" s="366"/>
    </row>
    <row r="4494" spans="16:17" x14ac:dyDescent="0.25">
      <c r="P4494" s="220"/>
      <c r="Q4494" s="366"/>
    </row>
    <row r="4495" spans="16:17" x14ac:dyDescent="0.25">
      <c r="P4495" s="220"/>
      <c r="Q4495" s="366"/>
    </row>
    <row r="4496" spans="16:17" x14ac:dyDescent="0.25">
      <c r="P4496" s="220"/>
      <c r="Q4496" s="366"/>
    </row>
    <row r="4497" spans="16:17" x14ac:dyDescent="0.25">
      <c r="P4497" s="220"/>
      <c r="Q4497" s="366"/>
    </row>
    <row r="4498" spans="16:17" x14ac:dyDescent="0.25">
      <c r="P4498" s="220"/>
      <c r="Q4498" s="366"/>
    </row>
    <row r="4499" spans="16:17" x14ac:dyDescent="0.25">
      <c r="P4499" s="220"/>
      <c r="Q4499" s="366"/>
    </row>
    <row r="4500" spans="16:17" x14ac:dyDescent="0.25">
      <c r="P4500" s="220"/>
      <c r="Q4500" s="366"/>
    </row>
    <row r="4501" spans="16:17" x14ac:dyDescent="0.25">
      <c r="P4501" s="220"/>
      <c r="Q4501" s="366"/>
    </row>
    <row r="4502" spans="16:17" x14ac:dyDescent="0.25">
      <c r="P4502" s="220"/>
      <c r="Q4502" s="366"/>
    </row>
    <row r="4503" spans="16:17" x14ac:dyDescent="0.25">
      <c r="P4503" s="220"/>
      <c r="Q4503" s="366"/>
    </row>
    <row r="4504" spans="16:17" x14ac:dyDescent="0.25">
      <c r="P4504" s="220"/>
      <c r="Q4504" s="366"/>
    </row>
    <row r="4505" spans="16:17" x14ac:dyDescent="0.25">
      <c r="P4505" s="220"/>
      <c r="Q4505" s="366"/>
    </row>
    <row r="4506" spans="16:17" x14ac:dyDescent="0.25">
      <c r="P4506" s="220"/>
      <c r="Q4506" s="366"/>
    </row>
    <row r="4507" spans="16:17" x14ac:dyDescent="0.25">
      <c r="P4507" s="220"/>
      <c r="Q4507" s="366"/>
    </row>
    <row r="4508" spans="16:17" x14ac:dyDescent="0.25">
      <c r="P4508" s="220"/>
      <c r="Q4508" s="366"/>
    </row>
    <row r="4509" spans="16:17" x14ac:dyDescent="0.25">
      <c r="P4509" s="220"/>
      <c r="Q4509" s="366"/>
    </row>
    <row r="4510" spans="16:17" x14ac:dyDescent="0.25">
      <c r="P4510" s="220"/>
      <c r="Q4510" s="366"/>
    </row>
    <row r="4511" spans="16:17" x14ac:dyDescent="0.25">
      <c r="P4511" s="220"/>
      <c r="Q4511" s="366"/>
    </row>
    <row r="4512" spans="16:17" x14ac:dyDescent="0.25">
      <c r="P4512" s="220"/>
      <c r="Q4512" s="366"/>
    </row>
    <row r="4513" spans="16:17" x14ac:dyDescent="0.25">
      <c r="P4513" s="220"/>
      <c r="Q4513" s="366"/>
    </row>
    <row r="4514" spans="16:17" x14ac:dyDescent="0.25">
      <c r="P4514" s="220"/>
      <c r="Q4514" s="366"/>
    </row>
    <row r="4515" spans="16:17" x14ac:dyDescent="0.25">
      <c r="P4515" s="220"/>
      <c r="Q4515" s="366"/>
    </row>
    <row r="4516" spans="16:17" x14ac:dyDescent="0.25">
      <c r="P4516" s="220"/>
      <c r="Q4516" s="366"/>
    </row>
    <row r="4517" spans="16:17" x14ac:dyDescent="0.25">
      <c r="P4517" s="220"/>
      <c r="Q4517" s="366"/>
    </row>
    <row r="4518" spans="16:17" x14ac:dyDescent="0.25">
      <c r="P4518" s="220"/>
      <c r="Q4518" s="366"/>
    </row>
    <row r="4519" spans="16:17" x14ac:dyDescent="0.25">
      <c r="P4519" s="220"/>
      <c r="Q4519" s="366"/>
    </row>
    <row r="4520" spans="16:17" x14ac:dyDescent="0.25">
      <c r="P4520" s="220"/>
      <c r="Q4520" s="366"/>
    </row>
    <row r="4521" spans="16:17" x14ac:dyDescent="0.25">
      <c r="P4521" s="220"/>
      <c r="Q4521" s="366"/>
    </row>
    <row r="4522" spans="16:17" x14ac:dyDescent="0.25">
      <c r="P4522" s="220"/>
      <c r="Q4522" s="366"/>
    </row>
    <row r="4523" spans="16:17" x14ac:dyDescent="0.25">
      <c r="P4523" s="220"/>
      <c r="Q4523" s="366"/>
    </row>
    <row r="4524" spans="16:17" x14ac:dyDescent="0.25">
      <c r="P4524" s="220"/>
      <c r="Q4524" s="366"/>
    </row>
    <row r="4525" spans="16:17" x14ac:dyDescent="0.25">
      <c r="P4525" s="220"/>
      <c r="Q4525" s="366"/>
    </row>
    <row r="4526" spans="16:17" x14ac:dyDescent="0.25">
      <c r="P4526" s="220"/>
      <c r="Q4526" s="366"/>
    </row>
    <row r="4527" spans="16:17" x14ac:dyDescent="0.25">
      <c r="P4527" s="220"/>
      <c r="Q4527" s="366"/>
    </row>
    <row r="4528" spans="16:17" x14ac:dyDescent="0.25">
      <c r="P4528" s="220"/>
      <c r="Q4528" s="366"/>
    </row>
    <row r="4529" spans="16:17" x14ac:dyDescent="0.25">
      <c r="P4529" s="220"/>
      <c r="Q4529" s="366"/>
    </row>
    <row r="4530" spans="16:17" x14ac:dyDescent="0.25">
      <c r="P4530" s="220"/>
      <c r="Q4530" s="366"/>
    </row>
    <row r="4531" spans="16:17" x14ac:dyDescent="0.25">
      <c r="P4531" s="220"/>
      <c r="Q4531" s="366"/>
    </row>
    <row r="4532" spans="16:17" x14ac:dyDescent="0.25">
      <c r="P4532" s="220"/>
      <c r="Q4532" s="366"/>
    </row>
    <row r="4533" spans="16:17" x14ac:dyDescent="0.25">
      <c r="P4533" s="220"/>
      <c r="Q4533" s="366"/>
    </row>
    <row r="4534" spans="16:17" x14ac:dyDescent="0.25">
      <c r="P4534" s="220"/>
      <c r="Q4534" s="366"/>
    </row>
    <row r="4535" spans="16:17" x14ac:dyDescent="0.25">
      <c r="P4535" s="220"/>
      <c r="Q4535" s="366"/>
    </row>
    <row r="4536" spans="16:17" x14ac:dyDescent="0.25">
      <c r="P4536" s="220"/>
      <c r="Q4536" s="366"/>
    </row>
    <row r="4537" spans="16:17" x14ac:dyDescent="0.25">
      <c r="P4537" s="220"/>
      <c r="Q4537" s="366"/>
    </row>
    <row r="4538" spans="16:17" x14ac:dyDescent="0.25">
      <c r="P4538" s="220"/>
      <c r="Q4538" s="366"/>
    </row>
    <row r="4539" spans="16:17" x14ac:dyDescent="0.25">
      <c r="P4539" s="220"/>
      <c r="Q4539" s="366"/>
    </row>
    <row r="4540" spans="16:17" x14ac:dyDescent="0.25">
      <c r="P4540" s="220"/>
      <c r="Q4540" s="366"/>
    </row>
    <row r="4541" spans="16:17" x14ac:dyDescent="0.25">
      <c r="P4541" s="220"/>
      <c r="Q4541" s="366"/>
    </row>
    <row r="4542" spans="16:17" x14ac:dyDescent="0.25">
      <c r="P4542" s="220"/>
      <c r="Q4542" s="366"/>
    </row>
    <row r="4543" spans="16:17" x14ac:dyDescent="0.25">
      <c r="P4543" s="220"/>
      <c r="Q4543" s="366"/>
    </row>
    <row r="4544" spans="16:17" x14ac:dyDescent="0.25">
      <c r="P4544" s="220"/>
      <c r="Q4544" s="366"/>
    </row>
    <row r="4545" spans="16:17" x14ac:dyDescent="0.25">
      <c r="P4545" s="220"/>
      <c r="Q4545" s="366"/>
    </row>
    <row r="4546" spans="16:17" x14ac:dyDescent="0.25">
      <c r="P4546" s="220"/>
      <c r="Q4546" s="366"/>
    </row>
    <row r="4547" spans="16:17" x14ac:dyDescent="0.25">
      <c r="P4547" s="220"/>
      <c r="Q4547" s="366"/>
    </row>
    <row r="4548" spans="16:17" x14ac:dyDescent="0.25">
      <c r="P4548" s="220"/>
      <c r="Q4548" s="366"/>
    </row>
    <row r="4549" spans="16:17" x14ac:dyDescent="0.25">
      <c r="P4549" s="220"/>
      <c r="Q4549" s="366"/>
    </row>
    <row r="4550" spans="16:17" x14ac:dyDescent="0.25">
      <c r="P4550" s="220"/>
      <c r="Q4550" s="366"/>
    </row>
    <row r="4551" spans="16:17" x14ac:dyDescent="0.25">
      <c r="P4551" s="220"/>
      <c r="Q4551" s="366"/>
    </row>
    <row r="4552" spans="16:17" x14ac:dyDescent="0.25">
      <c r="P4552" s="220"/>
      <c r="Q4552" s="366"/>
    </row>
    <row r="4553" spans="16:17" x14ac:dyDescent="0.25">
      <c r="P4553" s="220"/>
      <c r="Q4553" s="366"/>
    </row>
    <row r="4554" spans="16:17" x14ac:dyDescent="0.25">
      <c r="P4554" s="220"/>
      <c r="Q4554" s="366"/>
    </row>
    <row r="4555" spans="16:17" x14ac:dyDescent="0.25">
      <c r="P4555" s="220"/>
      <c r="Q4555" s="366"/>
    </row>
    <row r="4556" spans="16:17" x14ac:dyDescent="0.25">
      <c r="P4556" s="220"/>
      <c r="Q4556" s="366"/>
    </row>
    <row r="4557" spans="16:17" x14ac:dyDescent="0.25">
      <c r="P4557" s="220"/>
      <c r="Q4557" s="366"/>
    </row>
    <row r="4558" spans="16:17" x14ac:dyDescent="0.25">
      <c r="P4558" s="220"/>
      <c r="Q4558" s="366"/>
    </row>
    <row r="4559" spans="16:17" x14ac:dyDescent="0.25">
      <c r="P4559" s="220"/>
      <c r="Q4559" s="366"/>
    </row>
    <row r="4560" spans="16:17" x14ac:dyDescent="0.25">
      <c r="P4560" s="220"/>
      <c r="Q4560" s="366"/>
    </row>
    <row r="4561" spans="16:17" x14ac:dyDescent="0.25">
      <c r="P4561" s="220"/>
      <c r="Q4561" s="366"/>
    </row>
    <row r="4562" spans="16:17" x14ac:dyDescent="0.25">
      <c r="P4562" s="220"/>
      <c r="Q4562" s="366"/>
    </row>
    <row r="4563" spans="16:17" x14ac:dyDescent="0.25">
      <c r="P4563" s="220"/>
      <c r="Q4563" s="366"/>
    </row>
    <row r="4564" spans="16:17" x14ac:dyDescent="0.25">
      <c r="P4564" s="220"/>
      <c r="Q4564" s="366"/>
    </row>
    <row r="4565" spans="16:17" x14ac:dyDescent="0.25">
      <c r="P4565" s="220"/>
      <c r="Q4565" s="366"/>
    </row>
    <row r="4566" spans="16:17" x14ac:dyDescent="0.25">
      <c r="P4566" s="220"/>
      <c r="Q4566" s="366"/>
    </row>
    <row r="4567" spans="16:17" x14ac:dyDescent="0.25">
      <c r="P4567" s="220"/>
      <c r="Q4567" s="366"/>
    </row>
    <row r="4568" spans="16:17" x14ac:dyDescent="0.25">
      <c r="P4568" s="220"/>
      <c r="Q4568" s="366"/>
    </row>
    <row r="4569" spans="16:17" x14ac:dyDescent="0.25">
      <c r="P4569" s="220"/>
      <c r="Q4569" s="366"/>
    </row>
    <row r="4570" spans="16:17" x14ac:dyDescent="0.25">
      <c r="P4570" s="220"/>
      <c r="Q4570" s="366"/>
    </row>
    <row r="4571" spans="16:17" x14ac:dyDescent="0.25">
      <c r="P4571" s="220"/>
      <c r="Q4571" s="366"/>
    </row>
    <row r="4572" spans="16:17" x14ac:dyDescent="0.25">
      <c r="P4572" s="220"/>
      <c r="Q4572" s="366"/>
    </row>
    <row r="4573" spans="16:17" x14ac:dyDescent="0.25">
      <c r="P4573" s="220"/>
      <c r="Q4573" s="366"/>
    </row>
    <row r="4574" spans="16:17" x14ac:dyDescent="0.25">
      <c r="P4574" s="220"/>
      <c r="Q4574" s="366"/>
    </row>
    <row r="4575" spans="16:17" x14ac:dyDescent="0.25">
      <c r="P4575" s="220"/>
      <c r="Q4575" s="366"/>
    </row>
    <row r="4576" spans="16:17" x14ac:dyDescent="0.25">
      <c r="P4576" s="220"/>
      <c r="Q4576" s="366"/>
    </row>
    <row r="4577" spans="16:17" x14ac:dyDescent="0.25">
      <c r="P4577" s="220"/>
      <c r="Q4577" s="366"/>
    </row>
    <row r="4578" spans="16:17" x14ac:dyDescent="0.25">
      <c r="P4578" s="220"/>
      <c r="Q4578" s="366"/>
    </row>
    <row r="4579" spans="16:17" x14ac:dyDescent="0.25">
      <c r="P4579" s="220"/>
      <c r="Q4579" s="366"/>
    </row>
    <row r="4580" spans="16:17" x14ac:dyDescent="0.25">
      <c r="P4580" s="220"/>
      <c r="Q4580" s="366"/>
    </row>
    <row r="4581" spans="16:17" x14ac:dyDescent="0.25">
      <c r="P4581" s="220"/>
      <c r="Q4581" s="366"/>
    </row>
    <row r="4582" spans="16:17" x14ac:dyDescent="0.25">
      <c r="P4582" s="220"/>
      <c r="Q4582" s="366"/>
    </row>
    <row r="4583" spans="16:17" x14ac:dyDescent="0.25">
      <c r="P4583" s="220"/>
      <c r="Q4583" s="366"/>
    </row>
    <row r="4584" spans="16:17" x14ac:dyDescent="0.25">
      <c r="P4584" s="220"/>
      <c r="Q4584" s="366"/>
    </row>
    <row r="4585" spans="16:17" x14ac:dyDescent="0.25">
      <c r="P4585" s="220"/>
      <c r="Q4585" s="366"/>
    </row>
    <row r="4586" spans="16:17" x14ac:dyDescent="0.25">
      <c r="P4586" s="220"/>
      <c r="Q4586" s="366"/>
    </row>
    <row r="4587" spans="16:17" x14ac:dyDescent="0.25">
      <c r="P4587" s="220"/>
      <c r="Q4587" s="366"/>
    </row>
    <row r="4588" spans="16:17" x14ac:dyDescent="0.25">
      <c r="P4588" s="220"/>
      <c r="Q4588" s="366"/>
    </row>
    <row r="4589" spans="16:17" x14ac:dyDescent="0.25">
      <c r="P4589" s="220"/>
      <c r="Q4589" s="366"/>
    </row>
    <row r="4590" spans="16:17" x14ac:dyDescent="0.25">
      <c r="P4590" s="220"/>
      <c r="Q4590" s="366"/>
    </row>
    <row r="4591" spans="16:17" x14ac:dyDescent="0.25">
      <c r="P4591" s="220"/>
      <c r="Q4591" s="366"/>
    </row>
    <row r="4592" spans="16:17" x14ac:dyDescent="0.25">
      <c r="P4592" s="220"/>
      <c r="Q4592" s="366"/>
    </row>
    <row r="4593" spans="16:17" x14ac:dyDescent="0.25">
      <c r="P4593" s="220"/>
      <c r="Q4593" s="366"/>
    </row>
    <row r="4594" spans="16:17" x14ac:dyDescent="0.25">
      <c r="P4594" s="220"/>
      <c r="Q4594" s="366"/>
    </row>
    <row r="4595" spans="16:17" x14ac:dyDescent="0.25">
      <c r="P4595" s="220"/>
      <c r="Q4595" s="366"/>
    </row>
    <row r="4596" spans="16:17" x14ac:dyDescent="0.25">
      <c r="P4596" s="220"/>
      <c r="Q4596" s="366"/>
    </row>
    <row r="4597" spans="16:17" x14ac:dyDescent="0.25">
      <c r="P4597" s="220"/>
      <c r="Q4597" s="366"/>
    </row>
    <row r="4598" spans="16:17" x14ac:dyDescent="0.25">
      <c r="P4598" s="220"/>
      <c r="Q4598" s="366"/>
    </row>
    <row r="4599" spans="16:17" x14ac:dyDescent="0.25">
      <c r="P4599" s="220"/>
      <c r="Q4599" s="366"/>
    </row>
    <row r="4600" spans="16:17" x14ac:dyDescent="0.25">
      <c r="P4600" s="220"/>
      <c r="Q4600" s="366"/>
    </row>
    <row r="4601" spans="16:17" x14ac:dyDescent="0.25">
      <c r="P4601" s="220"/>
      <c r="Q4601" s="366"/>
    </row>
    <row r="4602" spans="16:17" x14ac:dyDescent="0.25">
      <c r="P4602" s="220"/>
      <c r="Q4602" s="366"/>
    </row>
    <row r="4603" spans="16:17" x14ac:dyDescent="0.25">
      <c r="P4603" s="220"/>
      <c r="Q4603" s="366"/>
    </row>
    <row r="4604" spans="16:17" x14ac:dyDescent="0.25">
      <c r="P4604" s="220"/>
      <c r="Q4604" s="366"/>
    </row>
    <row r="4605" spans="16:17" x14ac:dyDescent="0.25">
      <c r="P4605" s="220"/>
      <c r="Q4605" s="366"/>
    </row>
    <row r="4606" spans="16:17" x14ac:dyDescent="0.25">
      <c r="P4606" s="220"/>
      <c r="Q4606" s="366"/>
    </row>
    <row r="4607" spans="16:17" x14ac:dyDescent="0.25">
      <c r="P4607" s="220"/>
      <c r="Q4607" s="366"/>
    </row>
    <row r="4608" spans="16:17" x14ac:dyDescent="0.25">
      <c r="P4608" s="220"/>
      <c r="Q4608" s="366"/>
    </row>
    <row r="4609" spans="16:17" x14ac:dyDescent="0.25">
      <c r="P4609" s="220"/>
      <c r="Q4609" s="366"/>
    </row>
    <row r="4610" spans="16:17" x14ac:dyDescent="0.25">
      <c r="P4610" s="220"/>
      <c r="Q4610" s="366"/>
    </row>
    <row r="4611" spans="16:17" x14ac:dyDescent="0.25">
      <c r="P4611" s="220"/>
      <c r="Q4611" s="366"/>
    </row>
    <row r="4612" spans="16:17" x14ac:dyDescent="0.25">
      <c r="P4612" s="220"/>
      <c r="Q4612" s="366"/>
    </row>
    <row r="4613" spans="16:17" x14ac:dyDescent="0.25">
      <c r="P4613" s="220"/>
      <c r="Q4613" s="366"/>
    </row>
    <row r="4614" spans="16:17" x14ac:dyDescent="0.25">
      <c r="P4614" s="220"/>
      <c r="Q4614" s="366"/>
    </row>
    <row r="4615" spans="16:17" x14ac:dyDescent="0.25">
      <c r="P4615" s="220"/>
      <c r="Q4615" s="366"/>
    </row>
    <row r="4616" spans="16:17" x14ac:dyDescent="0.25">
      <c r="P4616" s="220"/>
      <c r="Q4616" s="366"/>
    </row>
    <row r="4617" spans="16:17" x14ac:dyDescent="0.25">
      <c r="P4617" s="220"/>
      <c r="Q4617" s="366"/>
    </row>
    <row r="4618" spans="16:17" x14ac:dyDescent="0.25">
      <c r="P4618" s="220"/>
      <c r="Q4618" s="366"/>
    </row>
    <row r="4619" spans="16:17" x14ac:dyDescent="0.25">
      <c r="P4619" s="220"/>
      <c r="Q4619" s="366"/>
    </row>
    <row r="4620" spans="16:17" x14ac:dyDescent="0.25">
      <c r="P4620" s="220"/>
      <c r="Q4620" s="366"/>
    </row>
    <row r="4621" spans="16:17" x14ac:dyDescent="0.25">
      <c r="P4621" s="220"/>
      <c r="Q4621" s="366"/>
    </row>
    <row r="4622" spans="16:17" x14ac:dyDescent="0.25">
      <c r="P4622" s="220"/>
      <c r="Q4622" s="366"/>
    </row>
    <row r="4623" spans="16:17" x14ac:dyDescent="0.25">
      <c r="P4623" s="220"/>
      <c r="Q4623" s="366"/>
    </row>
    <row r="4624" spans="16:17" x14ac:dyDescent="0.25">
      <c r="P4624" s="220"/>
      <c r="Q4624" s="366"/>
    </row>
    <row r="4625" spans="16:17" x14ac:dyDescent="0.25">
      <c r="P4625" s="220"/>
      <c r="Q4625" s="366"/>
    </row>
    <row r="4626" spans="16:17" x14ac:dyDescent="0.25">
      <c r="P4626" s="220"/>
      <c r="Q4626" s="366"/>
    </row>
    <row r="4627" spans="16:17" x14ac:dyDescent="0.25">
      <c r="P4627" s="220"/>
      <c r="Q4627" s="366"/>
    </row>
    <row r="4628" spans="16:17" x14ac:dyDescent="0.25">
      <c r="P4628" s="220"/>
      <c r="Q4628" s="366"/>
    </row>
    <row r="4629" spans="16:17" x14ac:dyDescent="0.25">
      <c r="P4629" s="220"/>
      <c r="Q4629" s="366"/>
    </row>
    <row r="4630" spans="16:17" x14ac:dyDescent="0.25">
      <c r="P4630" s="220"/>
      <c r="Q4630" s="366"/>
    </row>
    <row r="4631" spans="16:17" x14ac:dyDescent="0.25">
      <c r="P4631" s="220"/>
      <c r="Q4631" s="366"/>
    </row>
    <row r="4632" spans="16:17" x14ac:dyDescent="0.25">
      <c r="P4632" s="220"/>
      <c r="Q4632" s="366"/>
    </row>
    <row r="4633" spans="16:17" x14ac:dyDescent="0.25">
      <c r="P4633" s="220"/>
      <c r="Q4633" s="366"/>
    </row>
    <row r="4634" spans="16:17" x14ac:dyDescent="0.25">
      <c r="P4634" s="220"/>
      <c r="Q4634" s="366"/>
    </row>
    <row r="4635" spans="16:17" x14ac:dyDescent="0.25">
      <c r="P4635" s="220"/>
      <c r="Q4635" s="366"/>
    </row>
    <row r="4636" spans="16:17" x14ac:dyDescent="0.25">
      <c r="P4636" s="220"/>
      <c r="Q4636" s="366"/>
    </row>
    <row r="4637" spans="16:17" x14ac:dyDescent="0.25">
      <c r="P4637" s="220"/>
      <c r="Q4637" s="366"/>
    </row>
    <row r="4638" spans="16:17" x14ac:dyDescent="0.25">
      <c r="P4638" s="220"/>
      <c r="Q4638" s="366"/>
    </row>
    <row r="4639" spans="16:17" x14ac:dyDescent="0.25">
      <c r="P4639" s="220"/>
      <c r="Q4639" s="366"/>
    </row>
    <row r="4640" spans="16:17" x14ac:dyDescent="0.25">
      <c r="P4640" s="220"/>
      <c r="Q4640" s="366"/>
    </row>
    <row r="4641" spans="16:17" x14ac:dyDescent="0.25">
      <c r="P4641" s="220"/>
      <c r="Q4641" s="366"/>
    </row>
    <row r="4642" spans="16:17" x14ac:dyDescent="0.25">
      <c r="P4642" s="220"/>
      <c r="Q4642" s="366"/>
    </row>
    <row r="4643" spans="16:17" x14ac:dyDescent="0.25">
      <c r="P4643" s="220"/>
      <c r="Q4643" s="366"/>
    </row>
    <row r="4644" spans="16:17" x14ac:dyDescent="0.25">
      <c r="P4644" s="220"/>
      <c r="Q4644" s="366"/>
    </row>
    <row r="4645" spans="16:17" x14ac:dyDescent="0.25">
      <c r="P4645" s="220"/>
      <c r="Q4645" s="366"/>
    </row>
    <row r="4646" spans="16:17" x14ac:dyDescent="0.25">
      <c r="P4646" s="220"/>
      <c r="Q4646" s="366"/>
    </row>
    <row r="4647" spans="16:17" x14ac:dyDescent="0.25">
      <c r="P4647" s="220"/>
      <c r="Q4647" s="366"/>
    </row>
    <row r="4648" spans="16:17" x14ac:dyDescent="0.25">
      <c r="P4648" s="220"/>
      <c r="Q4648" s="366"/>
    </row>
    <row r="4649" spans="16:17" x14ac:dyDescent="0.25">
      <c r="P4649" s="220"/>
      <c r="Q4649" s="366"/>
    </row>
    <row r="4650" spans="16:17" x14ac:dyDescent="0.25">
      <c r="P4650" s="220"/>
      <c r="Q4650" s="366"/>
    </row>
    <row r="4651" spans="16:17" x14ac:dyDescent="0.25">
      <c r="P4651" s="220"/>
      <c r="Q4651" s="366"/>
    </row>
    <row r="4652" spans="16:17" x14ac:dyDescent="0.25">
      <c r="P4652" s="220"/>
      <c r="Q4652" s="366"/>
    </row>
    <row r="4653" spans="16:17" x14ac:dyDescent="0.25">
      <c r="P4653" s="220"/>
      <c r="Q4653" s="366"/>
    </row>
    <row r="4654" spans="16:17" x14ac:dyDescent="0.25">
      <c r="P4654" s="220"/>
      <c r="Q4654" s="366"/>
    </row>
    <row r="4655" spans="16:17" x14ac:dyDescent="0.25">
      <c r="P4655" s="220"/>
      <c r="Q4655" s="366"/>
    </row>
    <row r="4656" spans="16:17" x14ac:dyDescent="0.25">
      <c r="P4656" s="220"/>
      <c r="Q4656" s="366"/>
    </row>
    <row r="4657" spans="16:17" x14ac:dyDescent="0.25">
      <c r="P4657" s="220"/>
      <c r="Q4657" s="366"/>
    </row>
    <row r="4658" spans="16:17" x14ac:dyDescent="0.25">
      <c r="P4658" s="220"/>
      <c r="Q4658" s="366"/>
    </row>
    <row r="4659" spans="16:17" x14ac:dyDescent="0.25">
      <c r="P4659" s="220"/>
      <c r="Q4659" s="366"/>
    </row>
    <row r="4660" spans="16:17" x14ac:dyDescent="0.25">
      <c r="P4660" s="220"/>
      <c r="Q4660" s="366"/>
    </row>
    <row r="4661" spans="16:17" x14ac:dyDescent="0.25">
      <c r="P4661" s="220"/>
      <c r="Q4661" s="366"/>
    </row>
    <row r="4662" spans="16:17" x14ac:dyDescent="0.25">
      <c r="P4662" s="220"/>
      <c r="Q4662" s="366"/>
    </row>
    <row r="4663" spans="16:17" x14ac:dyDescent="0.25">
      <c r="P4663" s="220"/>
      <c r="Q4663" s="366"/>
    </row>
    <row r="4664" spans="16:17" x14ac:dyDescent="0.25">
      <c r="P4664" s="220"/>
      <c r="Q4664" s="366"/>
    </row>
    <row r="4665" spans="16:17" x14ac:dyDescent="0.25">
      <c r="P4665" s="220"/>
      <c r="Q4665" s="366"/>
    </row>
    <row r="4666" spans="16:17" x14ac:dyDescent="0.25">
      <c r="P4666" s="220"/>
      <c r="Q4666" s="366"/>
    </row>
    <row r="4667" spans="16:17" x14ac:dyDescent="0.25">
      <c r="P4667" s="220"/>
      <c r="Q4667" s="366"/>
    </row>
    <row r="4668" spans="16:17" x14ac:dyDescent="0.25">
      <c r="P4668" s="220"/>
      <c r="Q4668" s="366"/>
    </row>
    <row r="4669" spans="16:17" x14ac:dyDescent="0.25">
      <c r="P4669" s="220"/>
      <c r="Q4669" s="366"/>
    </row>
    <row r="4670" spans="16:17" x14ac:dyDescent="0.25">
      <c r="P4670" s="220"/>
      <c r="Q4670" s="366"/>
    </row>
    <row r="4671" spans="16:17" x14ac:dyDescent="0.25">
      <c r="P4671" s="220"/>
      <c r="Q4671" s="366"/>
    </row>
    <row r="4672" spans="16:17" x14ac:dyDescent="0.25">
      <c r="P4672" s="220"/>
      <c r="Q4672" s="366"/>
    </row>
    <row r="4673" spans="16:17" x14ac:dyDescent="0.25">
      <c r="P4673" s="220"/>
      <c r="Q4673" s="366"/>
    </row>
    <row r="4674" spans="16:17" x14ac:dyDescent="0.25">
      <c r="P4674" s="220"/>
      <c r="Q4674" s="366"/>
    </row>
    <row r="4675" spans="16:17" x14ac:dyDescent="0.25">
      <c r="P4675" s="220"/>
      <c r="Q4675" s="366"/>
    </row>
    <row r="4676" spans="16:17" x14ac:dyDescent="0.25">
      <c r="P4676" s="220"/>
      <c r="Q4676" s="366"/>
    </row>
    <row r="4677" spans="16:17" x14ac:dyDescent="0.25">
      <c r="P4677" s="220"/>
      <c r="Q4677" s="366"/>
    </row>
    <row r="4678" spans="16:17" x14ac:dyDescent="0.25">
      <c r="P4678" s="220"/>
      <c r="Q4678" s="366"/>
    </row>
    <row r="4679" spans="16:17" x14ac:dyDescent="0.25">
      <c r="P4679" s="220"/>
      <c r="Q4679" s="366"/>
    </row>
    <row r="4680" spans="16:17" x14ac:dyDescent="0.25">
      <c r="P4680" s="220"/>
      <c r="Q4680" s="366"/>
    </row>
    <row r="4681" spans="16:17" x14ac:dyDescent="0.25">
      <c r="P4681" s="220"/>
      <c r="Q4681" s="366"/>
    </row>
    <row r="4682" spans="16:17" x14ac:dyDescent="0.25">
      <c r="P4682" s="220"/>
      <c r="Q4682" s="366"/>
    </row>
    <row r="4683" spans="16:17" x14ac:dyDescent="0.25">
      <c r="P4683" s="220"/>
      <c r="Q4683" s="366"/>
    </row>
    <row r="4684" spans="16:17" x14ac:dyDescent="0.25">
      <c r="P4684" s="220"/>
      <c r="Q4684" s="366"/>
    </row>
    <row r="4685" spans="16:17" x14ac:dyDescent="0.25">
      <c r="P4685" s="220"/>
      <c r="Q4685" s="366"/>
    </row>
    <row r="4686" spans="16:17" x14ac:dyDescent="0.25">
      <c r="P4686" s="220"/>
      <c r="Q4686" s="366"/>
    </row>
    <row r="4687" spans="16:17" x14ac:dyDescent="0.25">
      <c r="P4687" s="220"/>
      <c r="Q4687" s="366"/>
    </row>
    <row r="4688" spans="16:17" x14ac:dyDescent="0.25">
      <c r="P4688" s="220"/>
      <c r="Q4688" s="366"/>
    </row>
    <row r="4689" spans="16:17" x14ac:dyDescent="0.25">
      <c r="P4689" s="220"/>
      <c r="Q4689" s="366"/>
    </row>
    <row r="4690" spans="16:17" x14ac:dyDescent="0.25">
      <c r="P4690" s="220"/>
      <c r="Q4690" s="366"/>
    </row>
    <row r="4691" spans="16:17" x14ac:dyDescent="0.25">
      <c r="P4691" s="220"/>
      <c r="Q4691" s="366"/>
    </row>
    <row r="4692" spans="16:17" x14ac:dyDescent="0.25">
      <c r="P4692" s="220"/>
      <c r="Q4692" s="366"/>
    </row>
    <row r="4693" spans="16:17" x14ac:dyDescent="0.25">
      <c r="P4693" s="220"/>
      <c r="Q4693" s="366"/>
    </row>
    <row r="4694" spans="16:17" x14ac:dyDescent="0.25">
      <c r="P4694" s="220"/>
      <c r="Q4694" s="366"/>
    </row>
    <row r="4695" spans="16:17" x14ac:dyDescent="0.25">
      <c r="P4695" s="220"/>
      <c r="Q4695" s="366"/>
    </row>
    <row r="4696" spans="16:17" x14ac:dyDescent="0.25">
      <c r="P4696" s="220"/>
      <c r="Q4696" s="366"/>
    </row>
    <row r="4697" spans="16:17" x14ac:dyDescent="0.25">
      <c r="P4697" s="220"/>
      <c r="Q4697" s="366"/>
    </row>
    <row r="4698" spans="16:17" x14ac:dyDescent="0.25">
      <c r="P4698" s="220"/>
      <c r="Q4698" s="366"/>
    </row>
    <row r="4699" spans="16:17" x14ac:dyDescent="0.25">
      <c r="P4699" s="220"/>
      <c r="Q4699" s="366"/>
    </row>
    <row r="4700" spans="16:17" x14ac:dyDescent="0.25">
      <c r="P4700" s="220"/>
      <c r="Q4700" s="366"/>
    </row>
    <row r="4701" spans="16:17" x14ac:dyDescent="0.25">
      <c r="P4701" s="220"/>
      <c r="Q4701" s="366"/>
    </row>
    <row r="4702" spans="16:17" x14ac:dyDescent="0.25">
      <c r="P4702" s="220"/>
      <c r="Q4702" s="366"/>
    </row>
    <row r="4703" spans="16:17" x14ac:dyDescent="0.25">
      <c r="P4703" s="220"/>
      <c r="Q4703" s="366"/>
    </row>
    <row r="4704" spans="16:17" x14ac:dyDescent="0.25">
      <c r="P4704" s="220"/>
      <c r="Q4704" s="366"/>
    </row>
    <row r="4705" spans="16:17" x14ac:dyDescent="0.25">
      <c r="P4705" s="220"/>
      <c r="Q4705" s="366"/>
    </row>
    <row r="4706" spans="16:17" x14ac:dyDescent="0.25">
      <c r="P4706" s="220"/>
      <c r="Q4706" s="366"/>
    </row>
    <row r="4707" spans="16:17" x14ac:dyDescent="0.25">
      <c r="P4707" s="220"/>
      <c r="Q4707" s="366"/>
    </row>
    <row r="4708" spans="16:17" x14ac:dyDescent="0.25">
      <c r="P4708" s="220"/>
      <c r="Q4708" s="366"/>
    </row>
    <row r="4709" spans="16:17" x14ac:dyDescent="0.25">
      <c r="P4709" s="220"/>
      <c r="Q4709" s="366"/>
    </row>
    <row r="4710" spans="16:17" x14ac:dyDescent="0.25">
      <c r="P4710" s="220"/>
      <c r="Q4710" s="366"/>
    </row>
    <row r="4711" spans="16:17" x14ac:dyDescent="0.25">
      <c r="P4711" s="220"/>
      <c r="Q4711" s="366"/>
    </row>
    <row r="4712" spans="16:17" x14ac:dyDescent="0.25">
      <c r="P4712" s="220"/>
      <c r="Q4712" s="366"/>
    </row>
    <row r="4713" spans="16:17" x14ac:dyDescent="0.25">
      <c r="P4713" s="220"/>
      <c r="Q4713" s="366"/>
    </row>
    <row r="4714" spans="16:17" x14ac:dyDescent="0.25">
      <c r="P4714" s="220"/>
      <c r="Q4714" s="366"/>
    </row>
    <row r="4715" spans="16:17" x14ac:dyDescent="0.25">
      <c r="P4715" s="220"/>
      <c r="Q4715" s="366"/>
    </row>
    <row r="4716" spans="16:17" x14ac:dyDescent="0.25">
      <c r="P4716" s="220"/>
      <c r="Q4716" s="366"/>
    </row>
    <row r="4717" spans="16:17" x14ac:dyDescent="0.25">
      <c r="P4717" s="220"/>
      <c r="Q4717" s="366"/>
    </row>
    <row r="4718" spans="16:17" x14ac:dyDescent="0.25">
      <c r="P4718" s="220"/>
      <c r="Q4718" s="366"/>
    </row>
    <row r="4719" spans="16:17" x14ac:dyDescent="0.25">
      <c r="P4719" s="220"/>
      <c r="Q4719" s="366"/>
    </row>
    <row r="4720" spans="16:17" x14ac:dyDescent="0.25">
      <c r="P4720" s="220"/>
      <c r="Q4720" s="366"/>
    </row>
    <row r="4721" spans="16:17" x14ac:dyDescent="0.25">
      <c r="P4721" s="220"/>
      <c r="Q4721" s="366"/>
    </row>
    <row r="4722" spans="16:17" x14ac:dyDescent="0.25">
      <c r="P4722" s="220"/>
      <c r="Q4722" s="366"/>
    </row>
    <row r="4723" spans="16:17" x14ac:dyDescent="0.25">
      <c r="P4723" s="220"/>
      <c r="Q4723" s="366"/>
    </row>
    <row r="4724" spans="16:17" x14ac:dyDescent="0.25">
      <c r="P4724" s="220"/>
      <c r="Q4724" s="366"/>
    </row>
    <row r="4725" spans="16:17" x14ac:dyDescent="0.25">
      <c r="P4725" s="220"/>
      <c r="Q4725" s="366"/>
    </row>
    <row r="4726" spans="16:17" x14ac:dyDescent="0.25">
      <c r="P4726" s="220"/>
      <c r="Q4726" s="366"/>
    </row>
    <row r="4727" spans="16:17" x14ac:dyDescent="0.25">
      <c r="P4727" s="220"/>
      <c r="Q4727" s="366"/>
    </row>
    <row r="4728" spans="16:17" x14ac:dyDescent="0.25">
      <c r="P4728" s="220"/>
      <c r="Q4728" s="366"/>
    </row>
    <row r="4729" spans="16:17" x14ac:dyDescent="0.25">
      <c r="P4729" s="220"/>
      <c r="Q4729" s="366"/>
    </row>
    <row r="4730" spans="16:17" x14ac:dyDescent="0.25">
      <c r="P4730" s="220"/>
      <c r="Q4730" s="366"/>
    </row>
    <row r="4731" spans="16:17" x14ac:dyDescent="0.25">
      <c r="P4731" s="220"/>
      <c r="Q4731" s="366"/>
    </row>
    <row r="4732" spans="16:17" x14ac:dyDescent="0.25">
      <c r="P4732" s="220"/>
      <c r="Q4732" s="366"/>
    </row>
    <row r="4733" spans="16:17" x14ac:dyDescent="0.25">
      <c r="P4733" s="220"/>
      <c r="Q4733" s="366"/>
    </row>
    <row r="4734" spans="16:17" x14ac:dyDescent="0.25">
      <c r="P4734" s="220"/>
      <c r="Q4734" s="366"/>
    </row>
    <row r="4735" spans="16:17" x14ac:dyDescent="0.25">
      <c r="P4735" s="220"/>
      <c r="Q4735" s="366"/>
    </row>
    <row r="4736" spans="16:17" x14ac:dyDescent="0.25">
      <c r="P4736" s="220"/>
      <c r="Q4736" s="366"/>
    </row>
    <row r="4737" spans="16:17" x14ac:dyDescent="0.25">
      <c r="P4737" s="220"/>
      <c r="Q4737" s="366"/>
    </row>
    <row r="4738" spans="16:17" x14ac:dyDescent="0.25">
      <c r="P4738" s="220"/>
      <c r="Q4738" s="366"/>
    </row>
    <row r="4739" spans="16:17" x14ac:dyDescent="0.25">
      <c r="P4739" s="220"/>
      <c r="Q4739" s="366"/>
    </row>
    <row r="4740" spans="16:17" x14ac:dyDescent="0.25">
      <c r="P4740" s="220"/>
      <c r="Q4740" s="366"/>
    </row>
    <row r="4741" spans="16:17" x14ac:dyDescent="0.25">
      <c r="P4741" s="220"/>
      <c r="Q4741" s="366"/>
    </row>
    <row r="4742" spans="16:17" x14ac:dyDescent="0.25">
      <c r="P4742" s="220"/>
      <c r="Q4742" s="366"/>
    </row>
    <row r="4743" spans="16:17" x14ac:dyDescent="0.25">
      <c r="P4743" s="220"/>
      <c r="Q4743" s="366"/>
    </row>
    <row r="4744" spans="16:17" x14ac:dyDescent="0.25">
      <c r="P4744" s="220"/>
      <c r="Q4744" s="366"/>
    </row>
    <row r="4745" spans="16:17" x14ac:dyDescent="0.25">
      <c r="P4745" s="220"/>
      <c r="Q4745" s="366"/>
    </row>
    <row r="4746" spans="16:17" x14ac:dyDescent="0.25">
      <c r="P4746" s="220"/>
      <c r="Q4746" s="366"/>
    </row>
    <row r="4747" spans="16:17" x14ac:dyDescent="0.25">
      <c r="P4747" s="220"/>
      <c r="Q4747" s="366"/>
    </row>
    <row r="4748" spans="16:17" x14ac:dyDescent="0.25">
      <c r="P4748" s="220"/>
      <c r="Q4748" s="366"/>
    </row>
    <row r="4749" spans="16:17" x14ac:dyDescent="0.25">
      <c r="P4749" s="220"/>
      <c r="Q4749" s="366"/>
    </row>
    <row r="4750" spans="16:17" x14ac:dyDescent="0.25">
      <c r="P4750" s="220"/>
      <c r="Q4750" s="366"/>
    </row>
    <row r="4751" spans="16:17" x14ac:dyDescent="0.25">
      <c r="P4751" s="220"/>
      <c r="Q4751" s="366"/>
    </row>
    <row r="4752" spans="16:17" x14ac:dyDescent="0.25">
      <c r="P4752" s="220"/>
      <c r="Q4752" s="366"/>
    </row>
    <row r="4753" spans="16:17" x14ac:dyDescent="0.25">
      <c r="P4753" s="220"/>
      <c r="Q4753" s="366"/>
    </row>
    <row r="4754" spans="16:17" x14ac:dyDescent="0.25">
      <c r="P4754" s="220"/>
      <c r="Q4754" s="366"/>
    </row>
    <row r="4755" spans="16:17" x14ac:dyDescent="0.25">
      <c r="P4755" s="220"/>
      <c r="Q4755" s="366"/>
    </row>
    <row r="4756" spans="16:17" x14ac:dyDescent="0.25">
      <c r="P4756" s="220"/>
      <c r="Q4756" s="366"/>
    </row>
    <row r="4757" spans="16:17" x14ac:dyDescent="0.25">
      <c r="P4757" s="220"/>
      <c r="Q4757" s="366"/>
    </row>
    <row r="4758" spans="16:17" x14ac:dyDescent="0.25">
      <c r="P4758" s="220"/>
      <c r="Q4758" s="366"/>
    </row>
    <row r="4759" spans="16:17" x14ac:dyDescent="0.25">
      <c r="P4759" s="220"/>
      <c r="Q4759" s="366"/>
    </row>
    <row r="4760" spans="16:17" x14ac:dyDescent="0.25">
      <c r="P4760" s="220"/>
      <c r="Q4760" s="366"/>
    </row>
    <row r="4761" spans="16:17" x14ac:dyDescent="0.25">
      <c r="P4761" s="220"/>
      <c r="Q4761" s="366"/>
    </row>
    <row r="4762" spans="16:17" x14ac:dyDescent="0.25">
      <c r="P4762" s="220"/>
      <c r="Q4762" s="366"/>
    </row>
    <row r="4763" spans="16:17" x14ac:dyDescent="0.25">
      <c r="P4763" s="220"/>
      <c r="Q4763" s="366"/>
    </row>
    <row r="4764" spans="16:17" x14ac:dyDescent="0.25">
      <c r="P4764" s="220"/>
      <c r="Q4764" s="366"/>
    </row>
    <row r="4765" spans="16:17" x14ac:dyDescent="0.25">
      <c r="P4765" s="220"/>
      <c r="Q4765" s="366"/>
    </row>
    <row r="4766" spans="16:17" x14ac:dyDescent="0.25">
      <c r="P4766" s="220"/>
      <c r="Q4766" s="366"/>
    </row>
    <row r="4767" spans="16:17" x14ac:dyDescent="0.25">
      <c r="P4767" s="220"/>
      <c r="Q4767" s="366"/>
    </row>
    <row r="4768" spans="16:17" x14ac:dyDescent="0.25">
      <c r="P4768" s="220"/>
      <c r="Q4768" s="366"/>
    </row>
    <row r="4769" spans="16:17" x14ac:dyDescent="0.25">
      <c r="P4769" s="220"/>
      <c r="Q4769" s="366"/>
    </row>
    <row r="4770" spans="16:17" x14ac:dyDescent="0.25">
      <c r="P4770" s="220"/>
      <c r="Q4770" s="366"/>
    </row>
    <row r="4771" spans="16:17" x14ac:dyDescent="0.25">
      <c r="P4771" s="220"/>
      <c r="Q4771" s="366"/>
    </row>
    <row r="4772" spans="16:17" x14ac:dyDescent="0.25">
      <c r="P4772" s="220"/>
      <c r="Q4772" s="366"/>
    </row>
    <row r="4773" spans="16:17" x14ac:dyDescent="0.25">
      <c r="P4773" s="220"/>
      <c r="Q4773" s="366"/>
    </row>
    <row r="4774" spans="16:17" x14ac:dyDescent="0.25">
      <c r="P4774" s="220"/>
      <c r="Q4774" s="366"/>
    </row>
    <row r="4775" spans="16:17" x14ac:dyDescent="0.25">
      <c r="P4775" s="220"/>
      <c r="Q4775" s="366"/>
    </row>
    <row r="4776" spans="16:17" x14ac:dyDescent="0.25">
      <c r="P4776" s="220"/>
      <c r="Q4776" s="366"/>
    </row>
    <row r="4777" spans="16:17" x14ac:dyDescent="0.25">
      <c r="P4777" s="220"/>
      <c r="Q4777" s="366"/>
    </row>
    <row r="4778" spans="16:17" x14ac:dyDescent="0.25">
      <c r="P4778" s="220"/>
      <c r="Q4778" s="366"/>
    </row>
    <row r="4779" spans="16:17" x14ac:dyDescent="0.25">
      <c r="P4779" s="220"/>
      <c r="Q4779" s="366"/>
    </row>
    <row r="4780" spans="16:17" x14ac:dyDescent="0.25">
      <c r="P4780" s="220"/>
      <c r="Q4780" s="366"/>
    </row>
    <row r="4781" spans="16:17" x14ac:dyDescent="0.25">
      <c r="P4781" s="220"/>
      <c r="Q4781" s="366"/>
    </row>
    <row r="4782" spans="16:17" x14ac:dyDescent="0.25">
      <c r="P4782" s="220"/>
      <c r="Q4782" s="366"/>
    </row>
    <row r="4783" spans="16:17" x14ac:dyDescent="0.25">
      <c r="P4783" s="220"/>
      <c r="Q4783" s="366"/>
    </row>
    <row r="4784" spans="16:17" x14ac:dyDescent="0.25">
      <c r="P4784" s="220"/>
      <c r="Q4784" s="366"/>
    </row>
    <row r="4785" spans="16:17" x14ac:dyDescent="0.25">
      <c r="P4785" s="220"/>
      <c r="Q4785" s="366"/>
    </row>
    <row r="4786" spans="16:17" x14ac:dyDescent="0.25">
      <c r="P4786" s="220"/>
      <c r="Q4786" s="366"/>
    </row>
    <row r="4787" spans="16:17" x14ac:dyDescent="0.25">
      <c r="P4787" s="220"/>
      <c r="Q4787" s="366"/>
    </row>
    <row r="4788" spans="16:17" x14ac:dyDescent="0.25">
      <c r="P4788" s="220"/>
      <c r="Q4788" s="366"/>
    </row>
    <row r="4789" spans="16:17" x14ac:dyDescent="0.25">
      <c r="P4789" s="220"/>
      <c r="Q4789" s="366"/>
    </row>
    <row r="4790" spans="16:17" x14ac:dyDescent="0.25">
      <c r="P4790" s="220"/>
      <c r="Q4790" s="366"/>
    </row>
    <row r="4791" spans="16:17" x14ac:dyDescent="0.25">
      <c r="P4791" s="220"/>
      <c r="Q4791" s="366"/>
    </row>
    <row r="4792" spans="16:17" x14ac:dyDescent="0.25">
      <c r="P4792" s="220"/>
      <c r="Q4792" s="366"/>
    </row>
    <row r="4793" spans="16:17" x14ac:dyDescent="0.25">
      <c r="P4793" s="220"/>
      <c r="Q4793" s="366"/>
    </row>
    <row r="4794" spans="16:17" x14ac:dyDescent="0.25">
      <c r="P4794" s="220"/>
      <c r="Q4794" s="366"/>
    </row>
    <row r="4795" spans="16:17" x14ac:dyDescent="0.25">
      <c r="P4795" s="220"/>
      <c r="Q4795" s="366"/>
    </row>
    <row r="4796" spans="16:17" x14ac:dyDescent="0.25">
      <c r="P4796" s="220"/>
      <c r="Q4796" s="366"/>
    </row>
    <row r="4797" spans="16:17" x14ac:dyDescent="0.25">
      <c r="P4797" s="220"/>
      <c r="Q4797" s="366"/>
    </row>
    <row r="4798" spans="16:17" x14ac:dyDescent="0.25">
      <c r="P4798" s="220"/>
      <c r="Q4798" s="366"/>
    </row>
    <row r="4799" spans="16:17" x14ac:dyDescent="0.25">
      <c r="P4799" s="220"/>
      <c r="Q4799" s="366"/>
    </row>
    <row r="4800" spans="16:17" x14ac:dyDescent="0.25">
      <c r="P4800" s="220"/>
      <c r="Q4800" s="366"/>
    </row>
    <row r="4801" spans="16:17" x14ac:dyDescent="0.25">
      <c r="P4801" s="220"/>
      <c r="Q4801" s="366"/>
    </row>
    <row r="4802" spans="16:17" x14ac:dyDescent="0.25">
      <c r="P4802" s="220"/>
      <c r="Q4802" s="366"/>
    </row>
    <row r="4803" spans="16:17" x14ac:dyDescent="0.25">
      <c r="P4803" s="220"/>
      <c r="Q4803" s="366"/>
    </row>
    <row r="4804" spans="16:17" x14ac:dyDescent="0.25">
      <c r="P4804" s="220"/>
      <c r="Q4804" s="366"/>
    </row>
    <row r="4805" spans="16:17" x14ac:dyDescent="0.25">
      <c r="P4805" s="220"/>
      <c r="Q4805" s="366"/>
    </row>
    <row r="4806" spans="16:17" x14ac:dyDescent="0.25">
      <c r="P4806" s="220"/>
      <c r="Q4806" s="366"/>
    </row>
    <row r="4807" spans="16:17" x14ac:dyDescent="0.25">
      <c r="P4807" s="220"/>
      <c r="Q4807" s="366"/>
    </row>
    <row r="4808" spans="16:17" x14ac:dyDescent="0.25">
      <c r="P4808" s="220"/>
      <c r="Q4808" s="366"/>
    </row>
    <row r="4809" spans="16:17" x14ac:dyDescent="0.25">
      <c r="P4809" s="220"/>
      <c r="Q4809" s="366"/>
    </row>
    <row r="4810" spans="16:17" x14ac:dyDescent="0.25">
      <c r="P4810" s="220"/>
      <c r="Q4810" s="366"/>
    </row>
    <row r="4811" spans="16:17" x14ac:dyDescent="0.25">
      <c r="P4811" s="220"/>
      <c r="Q4811" s="366"/>
    </row>
    <row r="4812" spans="16:17" x14ac:dyDescent="0.25">
      <c r="P4812" s="220"/>
      <c r="Q4812" s="366"/>
    </row>
    <row r="4813" spans="16:17" x14ac:dyDescent="0.25">
      <c r="P4813" s="220"/>
      <c r="Q4813" s="366"/>
    </row>
    <row r="4814" spans="16:17" x14ac:dyDescent="0.25">
      <c r="P4814" s="220"/>
      <c r="Q4814" s="366"/>
    </row>
    <row r="4815" spans="16:17" x14ac:dyDescent="0.25">
      <c r="P4815" s="220"/>
      <c r="Q4815" s="366"/>
    </row>
    <row r="4816" spans="16:17" x14ac:dyDescent="0.25">
      <c r="P4816" s="220"/>
      <c r="Q4816" s="366"/>
    </row>
    <row r="4817" spans="16:17" x14ac:dyDescent="0.25">
      <c r="P4817" s="220"/>
      <c r="Q4817" s="366"/>
    </row>
    <row r="4818" spans="16:17" x14ac:dyDescent="0.25">
      <c r="P4818" s="220"/>
      <c r="Q4818" s="366"/>
    </row>
    <row r="4819" spans="16:17" x14ac:dyDescent="0.25">
      <c r="P4819" s="220"/>
      <c r="Q4819" s="366"/>
    </row>
    <row r="4820" spans="16:17" x14ac:dyDescent="0.25">
      <c r="P4820" s="220"/>
      <c r="Q4820" s="366"/>
    </row>
    <row r="4821" spans="16:17" x14ac:dyDescent="0.25">
      <c r="P4821" s="220"/>
      <c r="Q4821" s="366"/>
    </row>
    <row r="4822" spans="16:17" x14ac:dyDescent="0.25">
      <c r="P4822" s="220"/>
      <c r="Q4822" s="366"/>
    </row>
    <row r="4823" spans="16:17" x14ac:dyDescent="0.25">
      <c r="P4823" s="220"/>
      <c r="Q4823" s="366"/>
    </row>
    <row r="4824" spans="16:17" x14ac:dyDescent="0.25">
      <c r="P4824" s="220"/>
      <c r="Q4824" s="366"/>
    </row>
    <row r="4825" spans="16:17" x14ac:dyDescent="0.25">
      <c r="P4825" s="220"/>
      <c r="Q4825" s="366"/>
    </row>
    <row r="4826" spans="16:17" x14ac:dyDescent="0.25">
      <c r="P4826" s="220"/>
      <c r="Q4826" s="366"/>
    </row>
    <row r="4827" spans="16:17" x14ac:dyDescent="0.25">
      <c r="P4827" s="220"/>
      <c r="Q4827" s="366"/>
    </row>
    <row r="4828" spans="16:17" x14ac:dyDescent="0.25">
      <c r="P4828" s="220"/>
      <c r="Q4828" s="366"/>
    </row>
    <row r="4829" spans="16:17" x14ac:dyDescent="0.25">
      <c r="P4829" s="220"/>
      <c r="Q4829" s="366"/>
    </row>
    <row r="4830" spans="16:17" x14ac:dyDescent="0.25">
      <c r="P4830" s="220"/>
      <c r="Q4830" s="366"/>
    </row>
    <row r="4831" spans="16:17" x14ac:dyDescent="0.25">
      <c r="P4831" s="220"/>
      <c r="Q4831" s="366"/>
    </row>
    <row r="4832" spans="16:17" x14ac:dyDescent="0.25">
      <c r="P4832" s="220"/>
      <c r="Q4832" s="366"/>
    </row>
    <row r="4833" spans="16:17" x14ac:dyDescent="0.25">
      <c r="P4833" s="220"/>
      <c r="Q4833" s="366"/>
    </row>
    <row r="4834" spans="16:17" x14ac:dyDescent="0.25">
      <c r="P4834" s="220"/>
      <c r="Q4834" s="366"/>
    </row>
    <row r="4835" spans="16:17" x14ac:dyDescent="0.25">
      <c r="P4835" s="220"/>
      <c r="Q4835" s="366"/>
    </row>
    <row r="4836" spans="16:17" x14ac:dyDescent="0.25">
      <c r="P4836" s="220"/>
      <c r="Q4836" s="366"/>
    </row>
    <row r="4837" spans="16:17" x14ac:dyDescent="0.25">
      <c r="P4837" s="220"/>
      <c r="Q4837" s="366"/>
    </row>
    <row r="4838" spans="16:17" x14ac:dyDescent="0.25">
      <c r="P4838" s="220"/>
      <c r="Q4838" s="366"/>
    </row>
    <row r="4839" spans="16:17" x14ac:dyDescent="0.25">
      <c r="P4839" s="220"/>
      <c r="Q4839" s="366"/>
    </row>
    <row r="4840" spans="16:17" x14ac:dyDescent="0.25">
      <c r="P4840" s="220"/>
      <c r="Q4840" s="366"/>
    </row>
    <row r="4841" spans="16:17" x14ac:dyDescent="0.25">
      <c r="P4841" s="220"/>
      <c r="Q4841" s="366"/>
    </row>
    <row r="4842" spans="16:17" x14ac:dyDescent="0.25">
      <c r="P4842" s="220"/>
      <c r="Q4842" s="366"/>
    </row>
    <row r="4843" spans="16:17" x14ac:dyDescent="0.25">
      <c r="P4843" s="220"/>
      <c r="Q4843" s="366"/>
    </row>
    <row r="4844" spans="16:17" x14ac:dyDescent="0.25">
      <c r="P4844" s="220"/>
      <c r="Q4844" s="366"/>
    </row>
    <row r="4845" spans="16:17" x14ac:dyDescent="0.25">
      <c r="P4845" s="220"/>
      <c r="Q4845" s="366"/>
    </row>
    <row r="4846" spans="16:17" x14ac:dyDescent="0.25">
      <c r="P4846" s="220"/>
      <c r="Q4846" s="366"/>
    </row>
    <row r="4847" spans="16:17" x14ac:dyDescent="0.25">
      <c r="P4847" s="220"/>
      <c r="Q4847" s="366"/>
    </row>
    <row r="4848" spans="16:17" x14ac:dyDescent="0.25">
      <c r="P4848" s="220"/>
      <c r="Q4848" s="366"/>
    </row>
    <row r="4849" spans="16:17" x14ac:dyDescent="0.25">
      <c r="P4849" s="220"/>
      <c r="Q4849" s="366"/>
    </row>
    <row r="4850" spans="16:17" x14ac:dyDescent="0.25">
      <c r="P4850" s="220"/>
      <c r="Q4850" s="366"/>
    </row>
    <row r="4851" spans="16:17" x14ac:dyDescent="0.25">
      <c r="P4851" s="220"/>
      <c r="Q4851" s="366"/>
    </row>
    <row r="4852" spans="16:17" x14ac:dyDescent="0.25">
      <c r="P4852" s="220"/>
      <c r="Q4852" s="366"/>
    </row>
    <row r="4853" spans="16:17" x14ac:dyDescent="0.25">
      <c r="P4853" s="220"/>
      <c r="Q4853" s="366"/>
    </row>
    <row r="4854" spans="16:17" x14ac:dyDescent="0.25">
      <c r="P4854" s="220"/>
      <c r="Q4854" s="366"/>
    </row>
    <row r="4855" spans="16:17" x14ac:dyDescent="0.25">
      <c r="P4855" s="220"/>
      <c r="Q4855" s="366"/>
    </row>
    <row r="4856" spans="16:17" x14ac:dyDescent="0.25">
      <c r="P4856" s="220"/>
      <c r="Q4856" s="366"/>
    </row>
    <row r="4857" spans="16:17" x14ac:dyDescent="0.25">
      <c r="P4857" s="220"/>
      <c r="Q4857" s="366"/>
    </row>
    <row r="4858" spans="16:17" x14ac:dyDescent="0.25">
      <c r="P4858" s="220"/>
      <c r="Q4858" s="366"/>
    </row>
    <row r="4859" spans="16:17" x14ac:dyDescent="0.25">
      <c r="P4859" s="220"/>
      <c r="Q4859" s="366"/>
    </row>
    <row r="4860" spans="16:17" x14ac:dyDescent="0.25">
      <c r="P4860" s="220"/>
      <c r="Q4860" s="366"/>
    </row>
    <row r="4861" spans="16:17" x14ac:dyDescent="0.25">
      <c r="P4861" s="220"/>
      <c r="Q4861" s="366"/>
    </row>
    <row r="4862" spans="16:17" x14ac:dyDescent="0.25">
      <c r="P4862" s="220"/>
      <c r="Q4862" s="366"/>
    </row>
    <row r="4863" spans="16:17" x14ac:dyDescent="0.25">
      <c r="P4863" s="220"/>
      <c r="Q4863" s="366"/>
    </row>
    <row r="4864" spans="16:17" x14ac:dyDescent="0.25">
      <c r="P4864" s="220"/>
      <c r="Q4864" s="366"/>
    </row>
    <row r="4865" spans="16:17" x14ac:dyDescent="0.25">
      <c r="P4865" s="220"/>
      <c r="Q4865" s="366"/>
    </row>
    <row r="4866" spans="16:17" x14ac:dyDescent="0.25">
      <c r="P4866" s="220"/>
      <c r="Q4866" s="366"/>
    </row>
    <row r="4867" spans="16:17" x14ac:dyDescent="0.25">
      <c r="P4867" s="220"/>
      <c r="Q4867" s="366"/>
    </row>
    <row r="4868" spans="16:17" x14ac:dyDescent="0.25">
      <c r="P4868" s="220"/>
      <c r="Q4868" s="366"/>
    </row>
    <row r="4869" spans="16:17" x14ac:dyDescent="0.25">
      <c r="P4869" s="220"/>
      <c r="Q4869" s="366"/>
    </row>
    <row r="4870" spans="16:17" x14ac:dyDescent="0.25">
      <c r="P4870" s="220"/>
      <c r="Q4870" s="366"/>
    </row>
    <row r="4871" spans="16:17" x14ac:dyDescent="0.25">
      <c r="P4871" s="220"/>
      <c r="Q4871" s="366"/>
    </row>
    <row r="4872" spans="16:17" x14ac:dyDescent="0.25">
      <c r="P4872" s="220"/>
      <c r="Q4872" s="366"/>
    </row>
    <row r="4873" spans="16:17" x14ac:dyDescent="0.25">
      <c r="P4873" s="220"/>
      <c r="Q4873" s="366"/>
    </row>
    <row r="4874" spans="16:17" x14ac:dyDescent="0.25">
      <c r="P4874" s="220"/>
      <c r="Q4874" s="366"/>
    </row>
    <row r="4875" spans="16:17" x14ac:dyDescent="0.25">
      <c r="P4875" s="220"/>
      <c r="Q4875" s="366"/>
    </row>
    <row r="4876" spans="16:17" x14ac:dyDescent="0.25">
      <c r="P4876" s="220"/>
      <c r="Q4876" s="366"/>
    </row>
    <row r="4877" spans="16:17" x14ac:dyDescent="0.25">
      <c r="P4877" s="220"/>
      <c r="Q4877" s="366"/>
    </row>
    <row r="4878" spans="16:17" x14ac:dyDescent="0.25">
      <c r="P4878" s="220"/>
      <c r="Q4878" s="366"/>
    </row>
    <row r="4879" spans="16:17" x14ac:dyDescent="0.25">
      <c r="P4879" s="220"/>
      <c r="Q4879" s="366"/>
    </row>
    <row r="4880" spans="16:17" x14ac:dyDescent="0.25">
      <c r="P4880" s="220"/>
      <c r="Q4880" s="366"/>
    </row>
    <row r="4881" spans="16:17" x14ac:dyDescent="0.25">
      <c r="P4881" s="220"/>
      <c r="Q4881" s="366"/>
    </row>
    <row r="4882" spans="16:17" x14ac:dyDescent="0.25">
      <c r="P4882" s="220"/>
      <c r="Q4882" s="366"/>
    </row>
    <row r="4883" spans="16:17" x14ac:dyDescent="0.25">
      <c r="P4883" s="220"/>
      <c r="Q4883" s="366"/>
    </row>
    <row r="4884" spans="16:17" x14ac:dyDescent="0.25">
      <c r="P4884" s="220"/>
      <c r="Q4884" s="366"/>
    </row>
    <row r="4885" spans="16:17" x14ac:dyDescent="0.25">
      <c r="P4885" s="220"/>
      <c r="Q4885" s="366"/>
    </row>
    <row r="4886" spans="16:17" x14ac:dyDescent="0.25">
      <c r="P4886" s="220"/>
      <c r="Q4886" s="366"/>
    </row>
    <row r="4887" spans="16:17" x14ac:dyDescent="0.25">
      <c r="P4887" s="220"/>
      <c r="Q4887" s="366"/>
    </row>
    <row r="4888" spans="16:17" x14ac:dyDescent="0.25">
      <c r="P4888" s="220"/>
      <c r="Q4888" s="366"/>
    </row>
    <row r="4889" spans="16:17" x14ac:dyDescent="0.25">
      <c r="P4889" s="220"/>
      <c r="Q4889" s="366"/>
    </row>
    <row r="4890" spans="16:17" x14ac:dyDescent="0.25">
      <c r="P4890" s="220"/>
      <c r="Q4890" s="366"/>
    </row>
    <row r="4891" spans="16:17" x14ac:dyDescent="0.25">
      <c r="P4891" s="220"/>
      <c r="Q4891" s="366"/>
    </row>
    <row r="4892" spans="16:17" x14ac:dyDescent="0.25">
      <c r="P4892" s="220"/>
      <c r="Q4892" s="366"/>
    </row>
    <row r="4893" spans="16:17" x14ac:dyDescent="0.25">
      <c r="P4893" s="220"/>
      <c r="Q4893" s="366"/>
    </row>
    <row r="4894" spans="16:17" x14ac:dyDescent="0.25">
      <c r="P4894" s="220"/>
      <c r="Q4894" s="366"/>
    </row>
    <row r="4895" spans="16:17" x14ac:dyDescent="0.25">
      <c r="P4895" s="220"/>
      <c r="Q4895" s="366"/>
    </row>
    <row r="4896" spans="16:17" x14ac:dyDescent="0.25">
      <c r="P4896" s="220"/>
      <c r="Q4896" s="366"/>
    </row>
    <row r="4897" spans="16:17" x14ac:dyDescent="0.25">
      <c r="P4897" s="220"/>
      <c r="Q4897" s="366"/>
    </row>
    <row r="4898" spans="16:17" x14ac:dyDescent="0.25">
      <c r="P4898" s="220"/>
      <c r="Q4898" s="366"/>
    </row>
    <row r="4899" spans="16:17" x14ac:dyDescent="0.25">
      <c r="P4899" s="220"/>
      <c r="Q4899" s="366"/>
    </row>
    <row r="4900" spans="16:17" x14ac:dyDescent="0.25">
      <c r="P4900" s="220"/>
      <c r="Q4900" s="366"/>
    </row>
    <row r="4901" spans="16:17" x14ac:dyDescent="0.25">
      <c r="P4901" s="220"/>
      <c r="Q4901" s="366"/>
    </row>
    <row r="4902" spans="16:17" x14ac:dyDescent="0.25">
      <c r="P4902" s="220"/>
      <c r="Q4902" s="366"/>
    </row>
    <row r="4903" spans="16:17" x14ac:dyDescent="0.25">
      <c r="P4903" s="220"/>
      <c r="Q4903" s="366"/>
    </row>
    <row r="4904" spans="16:17" x14ac:dyDescent="0.25">
      <c r="P4904" s="220"/>
      <c r="Q4904" s="366"/>
    </row>
    <row r="4905" spans="16:17" x14ac:dyDescent="0.25">
      <c r="P4905" s="220"/>
      <c r="Q4905" s="366"/>
    </row>
    <row r="4906" spans="16:17" x14ac:dyDescent="0.25">
      <c r="P4906" s="220"/>
      <c r="Q4906" s="366"/>
    </row>
    <row r="4907" spans="16:17" x14ac:dyDescent="0.25">
      <c r="P4907" s="220"/>
      <c r="Q4907" s="366"/>
    </row>
    <row r="4908" spans="16:17" x14ac:dyDescent="0.25">
      <c r="P4908" s="220"/>
      <c r="Q4908" s="366"/>
    </row>
    <row r="4909" spans="16:17" x14ac:dyDescent="0.25">
      <c r="P4909" s="220"/>
      <c r="Q4909" s="366"/>
    </row>
    <row r="4910" spans="16:17" x14ac:dyDescent="0.25">
      <c r="P4910" s="220"/>
      <c r="Q4910" s="366"/>
    </row>
    <row r="4911" spans="16:17" x14ac:dyDescent="0.25">
      <c r="P4911" s="220"/>
      <c r="Q4911" s="366"/>
    </row>
    <row r="4912" spans="16:17" x14ac:dyDescent="0.25">
      <c r="P4912" s="220"/>
      <c r="Q4912" s="366"/>
    </row>
    <row r="4913" spans="16:17" x14ac:dyDescent="0.25">
      <c r="P4913" s="220"/>
      <c r="Q4913" s="366"/>
    </row>
    <row r="4914" spans="16:17" x14ac:dyDescent="0.25">
      <c r="P4914" s="220"/>
      <c r="Q4914" s="366"/>
    </row>
    <row r="4915" spans="16:17" x14ac:dyDescent="0.25">
      <c r="P4915" s="220"/>
      <c r="Q4915" s="366"/>
    </row>
    <row r="4916" spans="16:17" x14ac:dyDescent="0.25">
      <c r="P4916" s="220"/>
      <c r="Q4916" s="366"/>
    </row>
    <row r="4917" spans="16:17" x14ac:dyDescent="0.25">
      <c r="P4917" s="220"/>
      <c r="Q4917" s="366"/>
    </row>
    <row r="4918" spans="16:17" x14ac:dyDescent="0.25">
      <c r="P4918" s="220"/>
      <c r="Q4918" s="366"/>
    </row>
    <row r="4919" spans="16:17" x14ac:dyDescent="0.25">
      <c r="P4919" s="220"/>
      <c r="Q4919" s="366"/>
    </row>
    <row r="4920" spans="16:17" x14ac:dyDescent="0.25">
      <c r="P4920" s="220"/>
      <c r="Q4920" s="366"/>
    </row>
    <row r="4921" spans="16:17" x14ac:dyDescent="0.25">
      <c r="P4921" s="220"/>
      <c r="Q4921" s="366"/>
    </row>
    <row r="4922" spans="16:17" x14ac:dyDescent="0.25">
      <c r="P4922" s="220"/>
      <c r="Q4922" s="366"/>
    </row>
    <row r="4923" spans="16:17" x14ac:dyDescent="0.25">
      <c r="P4923" s="220"/>
      <c r="Q4923" s="366"/>
    </row>
    <row r="4924" spans="16:17" x14ac:dyDescent="0.25">
      <c r="P4924" s="220"/>
      <c r="Q4924" s="366"/>
    </row>
    <row r="4925" spans="16:17" x14ac:dyDescent="0.25">
      <c r="P4925" s="220"/>
      <c r="Q4925" s="366"/>
    </row>
    <row r="4926" spans="16:17" x14ac:dyDescent="0.25">
      <c r="P4926" s="220"/>
      <c r="Q4926" s="366"/>
    </row>
    <row r="4927" spans="16:17" x14ac:dyDescent="0.25">
      <c r="P4927" s="220"/>
      <c r="Q4927" s="366"/>
    </row>
    <row r="4928" spans="16:17" x14ac:dyDescent="0.25">
      <c r="P4928" s="220"/>
      <c r="Q4928" s="366"/>
    </row>
    <row r="4929" spans="16:17" x14ac:dyDescent="0.25">
      <c r="P4929" s="220"/>
      <c r="Q4929" s="366"/>
    </row>
    <row r="4930" spans="16:17" x14ac:dyDescent="0.25">
      <c r="P4930" s="220"/>
      <c r="Q4930" s="366"/>
    </row>
    <row r="4931" spans="16:17" x14ac:dyDescent="0.25">
      <c r="P4931" s="220"/>
      <c r="Q4931" s="366"/>
    </row>
    <row r="4932" spans="16:17" x14ac:dyDescent="0.25">
      <c r="P4932" s="220"/>
      <c r="Q4932" s="366"/>
    </row>
    <row r="4933" spans="16:17" x14ac:dyDescent="0.25">
      <c r="P4933" s="220"/>
      <c r="Q4933" s="366"/>
    </row>
    <row r="4934" spans="16:17" x14ac:dyDescent="0.25">
      <c r="P4934" s="220"/>
      <c r="Q4934" s="366"/>
    </row>
    <row r="4935" spans="16:17" x14ac:dyDescent="0.25">
      <c r="P4935" s="220"/>
      <c r="Q4935" s="366"/>
    </row>
    <row r="4936" spans="16:17" x14ac:dyDescent="0.25">
      <c r="P4936" s="220"/>
      <c r="Q4936" s="366"/>
    </row>
    <row r="4937" spans="16:17" x14ac:dyDescent="0.25">
      <c r="P4937" s="220"/>
      <c r="Q4937" s="366"/>
    </row>
    <row r="4938" spans="16:17" x14ac:dyDescent="0.25">
      <c r="P4938" s="220"/>
      <c r="Q4938" s="366"/>
    </row>
    <row r="4939" spans="16:17" x14ac:dyDescent="0.25">
      <c r="P4939" s="220"/>
      <c r="Q4939" s="366"/>
    </row>
    <row r="4940" spans="16:17" x14ac:dyDescent="0.25">
      <c r="P4940" s="220"/>
      <c r="Q4940" s="366"/>
    </row>
    <row r="4941" spans="16:17" x14ac:dyDescent="0.25">
      <c r="P4941" s="220"/>
      <c r="Q4941" s="366"/>
    </row>
    <row r="4942" spans="16:17" x14ac:dyDescent="0.25">
      <c r="P4942" s="220"/>
      <c r="Q4942" s="366"/>
    </row>
    <row r="4943" spans="16:17" x14ac:dyDescent="0.25">
      <c r="P4943" s="220"/>
      <c r="Q4943" s="366"/>
    </row>
    <row r="4944" spans="16:17" x14ac:dyDescent="0.25">
      <c r="P4944" s="220"/>
      <c r="Q4944" s="366"/>
    </row>
    <row r="4945" spans="16:17" x14ac:dyDescent="0.25">
      <c r="P4945" s="220"/>
      <c r="Q4945" s="366"/>
    </row>
    <row r="4946" spans="16:17" x14ac:dyDescent="0.25">
      <c r="P4946" s="220"/>
      <c r="Q4946" s="366"/>
    </row>
    <row r="4947" spans="16:17" x14ac:dyDescent="0.25">
      <c r="P4947" s="220"/>
      <c r="Q4947" s="366"/>
    </row>
    <row r="4948" spans="16:17" x14ac:dyDescent="0.25">
      <c r="P4948" s="220"/>
      <c r="Q4948" s="366"/>
    </row>
    <row r="4949" spans="16:17" x14ac:dyDescent="0.25">
      <c r="P4949" s="220"/>
      <c r="Q4949" s="366"/>
    </row>
    <row r="4950" spans="16:17" x14ac:dyDescent="0.25">
      <c r="P4950" s="220"/>
      <c r="Q4950" s="366"/>
    </row>
    <row r="4951" spans="16:17" x14ac:dyDescent="0.25">
      <c r="P4951" s="220"/>
      <c r="Q4951" s="366"/>
    </row>
    <row r="4952" spans="16:17" x14ac:dyDescent="0.25">
      <c r="P4952" s="220"/>
      <c r="Q4952" s="366"/>
    </row>
    <row r="4953" spans="16:17" x14ac:dyDescent="0.25">
      <c r="P4953" s="220"/>
      <c r="Q4953" s="366"/>
    </row>
    <row r="4954" spans="16:17" x14ac:dyDescent="0.25">
      <c r="P4954" s="220"/>
      <c r="Q4954" s="366"/>
    </row>
    <row r="4955" spans="16:17" x14ac:dyDescent="0.25">
      <c r="P4955" s="220"/>
      <c r="Q4955" s="366"/>
    </row>
    <row r="4956" spans="16:17" x14ac:dyDescent="0.25">
      <c r="P4956" s="220"/>
      <c r="Q4956" s="366"/>
    </row>
    <row r="4957" spans="16:17" x14ac:dyDescent="0.25">
      <c r="P4957" s="220"/>
      <c r="Q4957" s="366"/>
    </row>
    <row r="4958" spans="16:17" x14ac:dyDescent="0.25">
      <c r="P4958" s="220"/>
      <c r="Q4958" s="366"/>
    </row>
    <row r="4959" spans="16:17" x14ac:dyDescent="0.25">
      <c r="P4959" s="220"/>
      <c r="Q4959" s="366"/>
    </row>
    <row r="4960" spans="16:17" x14ac:dyDescent="0.25">
      <c r="P4960" s="220"/>
      <c r="Q4960" s="366"/>
    </row>
    <row r="4961" spans="16:17" x14ac:dyDescent="0.25">
      <c r="P4961" s="220"/>
      <c r="Q4961" s="366"/>
    </row>
    <row r="4962" spans="16:17" x14ac:dyDescent="0.25">
      <c r="P4962" s="220"/>
      <c r="Q4962" s="366"/>
    </row>
    <row r="4963" spans="16:17" x14ac:dyDescent="0.25">
      <c r="P4963" s="220"/>
      <c r="Q4963" s="366"/>
    </row>
    <row r="4964" spans="16:17" x14ac:dyDescent="0.25">
      <c r="P4964" s="220"/>
      <c r="Q4964" s="366"/>
    </row>
    <row r="4965" spans="16:17" x14ac:dyDescent="0.25">
      <c r="P4965" s="220"/>
      <c r="Q4965" s="366"/>
    </row>
    <row r="4966" spans="16:17" x14ac:dyDescent="0.25">
      <c r="P4966" s="220"/>
      <c r="Q4966" s="366"/>
    </row>
    <row r="4967" spans="16:17" x14ac:dyDescent="0.25">
      <c r="P4967" s="220"/>
      <c r="Q4967" s="366"/>
    </row>
    <row r="4968" spans="16:17" x14ac:dyDescent="0.25">
      <c r="P4968" s="220"/>
      <c r="Q4968" s="366"/>
    </row>
    <row r="4969" spans="16:17" x14ac:dyDescent="0.25">
      <c r="P4969" s="220"/>
      <c r="Q4969" s="366"/>
    </row>
    <row r="4970" spans="16:17" x14ac:dyDescent="0.25">
      <c r="P4970" s="220"/>
      <c r="Q4970" s="366"/>
    </row>
    <row r="4971" spans="16:17" x14ac:dyDescent="0.25">
      <c r="P4971" s="220"/>
      <c r="Q4971" s="366"/>
    </row>
    <row r="4972" spans="16:17" x14ac:dyDescent="0.25">
      <c r="P4972" s="220"/>
      <c r="Q4972" s="366"/>
    </row>
    <row r="4973" spans="16:17" x14ac:dyDescent="0.25">
      <c r="P4973" s="220"/>
      <c r="Q4973" s="366"/>
    </row>
    <row r="4974" spans="16:17" x14ac:dyDescent="0.25">
      <c r="P4974" s="220"/>
      <c r="Q4974" s="366"/>
    </row>
    <row r="4975" spans="16:17" x14ac:dyDescent="0.25">
      <c r="P4975" s="220"/>
      <c r="Q4975" s="366"/>
    </row>
    <row r="4976" spans="16:17" x14ac:dyDescent="0.25">
      <c r="P4976" s="220"/>
      <c r="Q4976" s="366"/>
    </row>
    <row r="4977" spans="16:17" x14ac:dyDescent="0.25">
      <c r="P4977" s="220"/>
      <c r="Q4977" s="366"/>
    </row>
    <row r="4978" spans="16:17" x14ac:dyDescent="0.25">
      <c r="P4978" s="220"/>
      <c r="Q4978" s="366"/>
    </row>
    <row r="4979" spans="16:17" x14ac:dyDescent="0.25">
      <c r="P4979" s="220"/>
      <c r="Q4979" s="366"/>
    </row>
    <row r="4980" spans="16:17" x14ac:dyDescent="0.25">
      <c r="P4980" s="220"/>
      <c r="Q4980" s="366"/>
    </row>
    <row r="4981" spans="16:17" x14ac:dyDescent="0.25">
      <c r="P4981" s="220"/>
      <c r="Q4981" s="366"/>
    </row>
    <row r="4982" spans="16:17" x14ac:dyDescent="0.25">
      <c r="P4982" s="220"/>
      <c r="Q4982" s="366"/>
    </row>
    <row r="4983" spans="16:17" x14ac:dyDescent="0.25">
      <c r="P4983" s="220"/>
      <c r="Q4983" s="366"/>
    </row>
    <row r="4984" spans="16:17" x14ac:dyDescent="0.25">
      <c r="P4984" s="220"/>
      <c r="Q4984" s="366"/>
    </row>
    <row r="4985" spans="16:17" x14ac:dyDescent="0.25">
      <c r="P4985" s="220"/>
      <c r="Q4985" s="366"/>
    </row>
    <row r="4986" spans="16:17" x14ac:dyDescent="0.25">
      <c r="P4986" s="220"/>
      <c r="Q4986" s="366"/>
    </row>
    <row r="4987" spans="16:17" x14ac:dyDescent="0.25">
      <c r="P4987" s="220"/>
      <c r="Q4987" s="366"/>
    </row>
    <row r="4988" spans="16:17" x14ac:dyDescent="0.25">
      <c r="P4988" s="220"/>
      <c r="Q4988" s="366"/>
    </row>
    <row r="4989" spans="16:17" x14ac:dyDescent="0.25">
      <c r="P4989" s="220"/>
      <c r="Q4989" s="366"/>
    </row>
    <row r="4990" spans="16:17" x14ac:dyDescent="0.25">
      <c r="P4990" s="220"/>
      <c r="Q4990" s="366"/>
    </row>
    <row r="4991" spans="16:17" x14ac:dyDescent="0.25">
      <c r="P4991" s="220"/>
      <c r="Q4991" s="366"/>
    </row>
    <row r="4992" spans="16:17" x14ac:dyDescent="0.25">
      <c r="P4992" s="220"/>
      <c r="Q4992" s="366"/>
    </row>
    <row r="4993" spans="16:17" x14ac:dyDescent="0.25">
      <c r="P4993" s="220"/>
      <c r="Q4993" s="366"/>
    </row>
    <row r="4994" spans="16:17" x14ac:dyDescent="0.25">
      <c r="P4994" s="220"/>
      <c r="Q4994" s="366"/>
    </row>
    <row r="4995" spans="16:17" x14ac:dyDescent="0.25">
      <c r="P4995" s="220"/>
      <c r="Q4995" s="366"/>
    </row>
    <row r="4996" spans="16:17" x14ac:dyDescent="0.25">
      <c r="P4996" s="220"/>
      <c r="Q4996" s="366"/>
    </row>
    <row r="4997" spans="16:17" x14ac:dyDescent="0.25">
      <c r="P4997" s="220"/>
      <c r="Q4997" s="366"/>
    </row>
    <row r="4998" spans="16:17" x14ac:dyDescent="0.25">
      <c r="P4998" s="220"/>
      <c r="Q4998" s="366"/>
    </row>
    <row r="4999" spans="16:17" x14ac:dyDescent="0.25">
      <c r="P4999" s="220"/>
      <c r="Q4999" s="366"/>
    </row>
    <row r="5000" spans="16:17" x14ac:dyDescent="0.25">
      <c r="P5000" s="220"/>
      <c r="Q5000" s="366"/>
    </row>
    <row r="5001" spans="16:17" x14ac:dyDescent="0.25">
      <c r="P5001" s="220"/>
      <c r="Q5001" s="366"/>
    </row>
    <row r="5002" spans="16:17" x14ac:dyDescent="0.25">
      <c r="P5002" s="220"/>
      <c r="Q5002" s="366"/>
    </row>
    <row r="5003" spans="16:17" x14ac:dyDescent="0.25">
      <c r="P5003" s="220"/>
      <c r="Q5003" s="366"/>
    </row>
    <row r="5004" spans="16:17" x14ac:dyDescent="0.25">
      <c r="P5004" s="220"/>
      <c r="Q5004" s="366"/>
    </row>
    <row r="5005" spans="16:17" x14ac:dyDescent="0.25">
      <c r="P5005" s="220"/>
      <c r="Q5005" s="366"/>
    </row>
    <row r="5006" spans="16:17" x14ac:dyDescent="0.25">
      <c r="P5006" s="220"/>
      <c r="Q5006" s="366"/>
    </row>
    <row r="5007" spans="16:17" x14ac:dyDescent="0.25">
      <c r="P5007" s="220"/>
      <c r="Q5007" s="366"/>
    </row>
    <row r="5008" spans="16:17" x14ac:dyDescent="0.25">
      <c r="P5008" s="220"/>
      <c r="Q5008" s="366"/>
    </row>
    <row r="5009" spans="16:17" x14ac:dyDescent="0.25">
      <c r="P5009" s="220"/>
      <c r="Q5009" s="366"/>
    </row>
    <row r="5010" spans="16:17" x14ac:dyDescent="0.25">
      <c r="P5010" s="220"/>
      <c r="Q5010" s="366"/>
    </row>
    <row r="5011" spans="16:17" x14ac:dyDescent="0.25">
      <c r="P5011" s="220"/>
      <c r="Q5011" s="366"/>
    </row>
    <row r="5012" spans="16:17" x14ac:dyDescent="0.25">
      <c r="P5012" s="220"/>
      <c r="Q5012" s="366"/>
    </row>
    <row r="5013" spans="16:17" x14ac:dyDescent="0.25">
      <c r="P5013" s="220"/>
      <c r="Q5013" s="366"/>
    </row>
    <row r="5014" spans="16:17" x14ac:dyDescent="0.25">
      <c r="P5014" s="220"/>
      <c r="Q5014" s="366"/>
    </row>
    <row r="5015" spans="16:17" x14ac:dyDescent="0.25">
      <c r="P5015" s="220"/>
      <c r="Q5015" s="366"/>
    </row>
    <row r="5016" spans="16:17" x14ac:dyDescent="0.25">
      <c r="P5016" s="220"/>
      <c r="Q5016" s="366"/>
    </row>
    <row r="5017" spans="16:17" x14ac:dyDescent="0.25">
      <c r="P5017" s="220"/>
      <c r="Q5017" s="366"/>
    </row>
    <row r="5018" spans="16:17" x14ac:dyDescent="0.25">
      <c r="P5018" s="220"/>
      <c r="Q5018" s="366"/>
    </row>
    <row r="5019" spans="16:17" x14ac:dyDescent="0.25">
      <c r="P5019" s="220"/>
      <c r="Q5019" s="366"/>
    </row>
    <row r="5020" spans="16:17" x14ac:dyDescent="0.25">
      <c r="P5020" s="220"/>
      <c r="Q5020" s="366"/>
    </row>
    <row r="5021" spans="16:17" x14ac:dyDescent="0.25">
      <c r="P5021" s="220"/>
      <c r="Q5021" s="366"/>
    </row>
    <row r="5022" spans="16:17" x14ac:dyDescent="0.25">
      <c r="P5022" s="220"/>
      <c r="Q5022" s="366"/>
    </row>
    <row r="5023" spans="16:17" x14ac:dyDescent="0.25">
      <c r="P5023" s="220"/>
      <c r="Q5023" s="366"/>
    </row>
    <row r="5024" spans="16:17" x14ac:dyDescent="0.25">
      <c r="P5024" s="220"/>
      <c r="Q5024" s="366"/>
    </row>
    <row r="5025" spans="16:17" x14ac:dyDescent="0.25">
      <c r="P5025" s="220"/>
      <c r="Q5025" s="366"/>
    </row>
    <row r="5026" spans="16:17" x14ac:dyDescent="0.25">
      <c r="P5026" s="220"/>
      <c r="Q5026" s="366"/>
    </row>
    <row r="5027" spans="16:17" x14ac:dyDescent="0.25">
      <c r="P5027" s="220"/>
      <c r="Q5027" s="366"/>
    </row>
    <row r="5028" spans="16:17" x14ac:dyDescent="0.25">
      <c r="P5028" s="220"/>
      <c r="Q5028" s="366"/>
    </row>
    <row r="5029" spans="16:17" x14ac:dyDescent="0.25">
      <c r="P5029" s="220"/>
      <c r="Q5029" s="366"/>
    </row>
    <row r="5030" spans="16:17" x14ac:dyDescent="0.25">
      <c r="P5030" s="220"/>
      <c r="Q5030" s="366"/>
    </row>
    <row r="5031" spans="16:17" x14ac:dyDescent="0.25">
      <c r="P5031" s="220"/>
      <c r="Q5031" s="366"/>
    </row>
    <row r="5032" spans="16:17" x14ac:dyDescent="0.25">
      <c r="P5032" s="220"/>
      <c r="Q5032" s="366"/>
    </row>
    <row r="5033" spans="16:17" x14ac:dyDescent="0.25">
      <c r="P5033" s="220"/>
      <c r="Q5033" s="366"/>
    </row>
    <row r="5034" spans="16:17" x14ac:dyDescent="0.25">
      <c r="P5034" s="220"/>
      <c r="Q5034" s="366"/>
    </row>
    <row r="5035" spans="16:17" x14ac:dyDescent="0.25">
      <c r="P5035" s="220"/>
      <c r="Q5035" s="366"/>
    </row>
    <row r="5036" spans="16:17" x14ac:dyDescent="0.25">
      <c r="P5036" s="220"/>
      <c r="Q5036" s="366"/>
    </row>
    <row r="5037" spans="16:17" x14ac:dyDescent="0.25">
      <c r="P5037" s="220"/>
      <c r="Q5037" s="366"/>
    </row>
    <row r="5038" spans="16:17" x14ac:dyDescent="0.25">
      <c r="P5038" s="220"/>
      <c r="Q5038" s="366"/>
    </row>
    <row r="5039" spans="16:17" x14ac:dyDescent="0.25">
      <c r="P5039" s="220"/>
      <c r="Q5039" s="366"/>
    </row>
    <row r="5040" spans="16:17" x14ac:dyDescent="0.25">
      <c r="P5040" s="220"/>
      <c r="Q5040" s="366"/>
    </row>
    <row r="5041" spans="16:17" x14ac:dyDescent="0.25">
      <c r="P5041" s="220"/>
      <c r="Q5041" s="366"/>
    </row>
    <row r="5042" spans="16:17" x14ac:dyDescent="0.25">
      <c r="P5042" s="220"/>
      <c r="Q5042" s="366"/>
    </row>
    <row r="5043" spans="16:17" x14ac:dyDescent="0.25">
      <c r="P5043" s="220"/>
      <c r="Q5043" s="366"/>
    </row>
    <row r="5044" spans="16:17" x14ac:dyDescent="0.25">
      <c r="P5044" s="220"/>
      <c r="Q5044" s="366"/>
    </row>
    <row r="5045" spans="16:17" x14ac:dyDescent="0.25">
      <c r="P5045" s="220"/>
      <c r="Q5045" s="366"/>
    </row>
    <row r="5046" spans="16:17" x14ac:dyDescent="0.25">
      <c r="P5046" s="220"/>
      <c r="Q5046" s="366"/>
    </row>
    <row r="5047" spans="16:17" x14ac:dyDescent="0.25">
      <c r="P5047" s="220"/>
      <c r="Q5047" s="366"/>
    </row>
    <row r="5048" spans="16:17" x14ac:dyDescent="0.25">
      <c r="P5048" s="220"/>
      <c r="Q5048" s="366"/>
    </row>
    <row r="5049" spans="16:17" x14ac:dyDescent="0.25">
      <c r="P5049" s="220"/>
      <c r="Q5049" s="366"/>
    </row>
    <row r="5050" spans="16:17" x14ac:dyDescent="0.25">
      <c r="P5050" s="220"/>
      <c r="Q5050" s="366"/>
    </row>
    <row r="5051" spans="16:17" x14ac:dyDescent="0.25">
      <c r="P5051" s="220"/>
      <c r="Q5051" s="366"/>
    </row>
    <row r="5052" spans="16:17" x14ac:dyDescent="0.25">
      <c r="P5052" s="220"/>
      <c r="Q5052" s="366"/>
    </row>
    <row r="5053" spans="16:17" x14ac:dyDescent="0.25">
      <c r="P5053" s="220"/>
      <c r="Q5053" s="366"/>
    </row>
    <row r="5054" spans="16:17" x14ac:dyDescent="0.25">
      <c r="P5054" s="220"/>
      <c r="Q5054" s="366"/>
    </row>
    <row r="5055" spans="16:17" x14ac:dyDescent="0.25">
      <c r="P5055" s="220"/>
      <c r="Q5055" s="366"/>
    </row>
    <row r="5056" spans="16:17" x14ac:dyDescent="0.25">
      <c r="P5056" s="220"/>
      <c r="Q5056" s="366"/>
    </row>
    <row r="5057" spans="16:17" x14ac:dyDescent="0.25">
      <c r="P5057" s="220"/>
      <c r="Q5057" s="366"/>
    </row>
    <row r="5058" spans="16:17" x14ac:dyDescent="0.25">
      <c r="P5058" s="220"/>
      <c r="Q5058" s="366"/>
    </row>
    <row r="5059" spans="16:17" x14ac:dyDescent="0.25">
      <c r="P5059" s="220"/>
      <c r="Q5059" s="366"/>
    </row>
    <row r="5060" spans="16:17" x14ac:dyDescent="0.25">
      <c r="P5060" s="220"/>
      <c r="Q5060" s="366"/>
    </row>
    <row r="5061" spans="16:17" x14ac:dyDescent="0.25">
      <c r="P5061" s="220"/>
      <c r="Q5061" s="366"/>
    </row>
    <row r="5062" spans="16:17" x14ac:dyDescent="0.25">
      <c r="P5062" s="220"/>
      <c r="Q5062" s="366"/>
    </row>
    <row r="5063" spans="16:17" x14ac:dyDescent="0.25">
      <c r="P5063" s="220"/>
      <c r="Q5063" s="366"/>
    </row>
    <row r="5064" spans="16:17" x14ac:dyDescent="0.25">
      <c r="P5064" s="220"/>
      <c r="Q5064" s="366"/>
    </row>
    <row r="5065" spans="16:17" x14ac:dyDescent="0.25">
      <c r="P5065" s="220"/>
      <c r="Q5065" s="366"/>
    </row>
    <row r="5066" spans="16:17" x14ac:dyDescent="0.25">
      <c r="P5066" s="220"/>
      <c r="Q5066" s="366"/>
    </row>
    <row r="5067" spans="16:17" x14ac:dyDescent="0.25">
      <c r="P5067" s="220"/>
      <c r="Q5067" s="366"/>
    </row>
    <row r="5068" spans="16:17" x14ac:dyDescent="0.25">
      <c r="P5068" s="220"/>
      <c r="Q5068" s="366"/>
    </row>
    <row r="5069" spans="16:17" x14ac:dyDescent="0.25">
      <c r="P5069" s="220"/>
      <c r="Q5069" s="366"/>
    </row>
    <row r="5070" spans="16:17" x14ac:dyDescent="0.25">
      <c r="P5070" s="220"/>
      <c r="Q5070" s="366"/>
    </row>
    <row r="5071" spans="16:17" x14ac:dyDescent="0.25">
      <c r="P5071" s="220"/>
      <c r="Q5071" s="366"/>
    </row>
    <row r="5072" spans="16:17" x14ac:dyDescent="0.25">
      <c r="P5072" s="220"/>
      <c r="Q5072" s="366"/>
    </row>
    <row r="5073" spans="16:17" x14ac:dyDescent="0.25">
      <c r="P5073" s="220"/>
      <c r="Q5073" s="366"/>
    </row>
    <row r="5074" spans="16:17" x14ac:dyDescent="0.25">
      <c r="P5074" s="220"/>
      <c r="Q5074" s="366"/>
    </row>
    <row r="5075" spans="16:17" x14ac:dyDescent="0.25">
      <c r="P5075" s="220"/>
      <c r="Q5075" s="366"/>
    </row>
    <row r="5076" spans="16:17" x14ac:dyDescent="0.25">
      <c r="P5076" s="220"/>
      <c r="Q5076" s="366"/>
    </row>
    <row r="5077" spans="16:17" x14ac:dyDescent="0.25">
      <c r="P5077" s="220"/>
      <c r="Q5077" s="366"/>
    </row>
    <row r="5078" spans="16:17" x14ac:dyDescent="0.25">
      <c r="P5078" s="220"/>
      <c r="Q5078" s="366"/>
    </row>
    <row r="5079" spans="16:17" x14ac:dyDescent="0.25">
      <c r="P5079" s="220"/>
      <c r="Q5079" s="366"/>
    </row>
    <row r="5080" spans="16:17" x14ac:dyDescent="0.25">
      <c r="P5080" s="220"/>
      <c r="Q5080" s="366"/>
    </row>
    <row r="5081" spans="16:17" x14ac:dyDescent="0.25">
      <c r="P5081" s="220"/>
      <c r="Q5081" s="366"/>
    </row>
    <row r="5082" spans="16:17" x14ac:dyDescent="0.25">
      <c r="P5082" s="220"/>
      <c r="Q5082" s="366"/>
    </row>
    <row r="5083" spans="16:17" x14ac:dyDescent="0.25">
      <c r="P5083" s="220"/>
      <c r="Q5083" s="366"/>
    </row>
    <row r="5084" spans="16:17" x14ac:dyDescent="0.25">
      <c r="P5084" s="220"/>
      <c r="Q5084" s="366"/>
    </row>
    <row r="5085" spans="16:17" x14ac:dyDescent="0.25">
      <c r="P5085" s="220"/>
      <c r="Q5085" s="366"/>
    </row>
    <row r="5086" spans="16:17" x14ac:dyDescent="0.25">
      <c r="P5086" s="220"/>
      <c r="Q5086" s="366"/>
    </row>
    <row r="5087" spans="16:17" x14ac:dyDescent="0.25">
      <c r="P5087" s="220"/>
      <c r="Q5087" s="366"/>
    </row>
    <row r="5088" spans="16:17" x14ac:dyDescent="0.25">
      <c r="P5088" s="220"/>
      <c r="Q5088" s="366"/>
    </row>
    <row r="5089" spans="16:17" x14ac:dyDescent="0.25">
      <c r="P5089" s="220"/>
      <c r="Q5089" s="366"/>
    </row>
    <row r="5090" spans="16:17" x14ac:dyDescent="0.25">
      <c r="P5090" s="220"/>
      <c r="Q5090" s="366"/>
    </row>
    <row r="5091" spans="16:17" x14ac:dyDescent="0.25">
      <c r="P5091" s="220"/>
      <c r="Q5091" s="366"/>
    </row>
    <row r="5092" spans="16:17" x14ac:dyDescent="0.25">
      <c r="P5092" s="220"/>
      <c r="Q5092" s="366"/>
    </row>
    <row r="5093" spans="16:17" x14ac:dyDescent="0.25">
      <c r="P5093" s="220"/>
      <c r="Q5093" s="366"/>
    </row>
    <row r="5094" spans="16:17" x14ac:dyDescent="0.25">
      <c r="P5094" s="220"/>
      <c r="Q5094" s="366"/>
    </row>
    <row r="5095" spans="16:17" x14ac:dyDescent="0.25">
      <c r="P5095" s="220"/>
      <c r="Q5095" s="366"/>
    </row>
    <row r="5096" spans="16:17" x14ac:dyDescent="0.25">
      <c r="P5096" s="220"/>
      <c r="Q5096" s="366"/>
    </row>
    <row r="5097" spans="16:17" x14ac:dyDescent="0.25">
      <c r="P5097" s="220"/>
      <c r="Q5097" s="366"/>
    </row>
    <row r="5098" spans="16:17" x14ac:dyDescent="0.25">
      <c r="P5098" s="220"/>
      <c r="Q5098" s="366"/>
    </row>
    <row r="5099" spans="16:17" x14ac:dyDescent="0.25">
      <c r="P5099" s="220"/>
      <c r="Q5099" s="366"/>
    </row>
    <row r="5100" spans="16:17" x14ac:dyDescent="0.25">
      <c r="P5100" s="220"/>
      <c r="Q5100" s="366"/>
    </row>
    <row r="5101" spans="16:17" x14ac:dyDescent="0.25">
      <c r="P5101" s="220"/>
      <c r="Q5101" s="366"/>
    </row>
    <row r="5102" spans="16:17" x14ac:dyDescent="0.25">
      <c r="P5102" s="220"/>
      <c r="Q5102" s="366"/>
    </row>
    <row r="5103" spans="16:17" x14ac:dyDescent="0.25">
      <c r="P5103" s="220"/>
      <c r="Q5103" s="366"/>
    </row>
    <row r="5104" spans="16:17" x14ac:dyDescent="0.25">
      <c r="P5104" s="220"/>
      <c r="Q5104" s="366"/>
    </row>
    <row r="5105" spans="16:17" x14ac:dyDescent="0.25">
      <c r="P5105" s="220"/>
      <c r="Q5105" s="366"/>
    </row>
    <row r="5106" spans="16:17" x14ac:dyDescent="0.25">
      <c r="P5106" s="220"/>
      <c r="Q5106" s="366"/>
    </row>
    <row r="5107" spans="16:17" x14ac:dyDescent="0.25">
      <c r="P5107" s="220"/>
      <c r="Q5107" s="366"/>
    </row>
    <row r="5108" spans="16:17" x14ac:dyDescent="0.25">
      <c r="P5108" s="220"/>
      <c r="Q5108" s="366"/>
    </row>
    <row r="5109" spans="16:17" x14ac:dyDescent="0.25">
      <c r="P5109" s="220"/>
      <c r="Q5109" s="366"/>
    </row>
    <row r="5110" spans="16:17" x14ac:dyDescent="0.25">
      <c r="P5110" s="220"/>
      <c r="Q5110" s="366"/>
    </row>
    <row r="5111" spans="16:17" x14ac:dyDescent="0.25">
      <c r="P5111" s="220"/>
      <c r="Q5111" s="366"/>
    </row>
    <row r="5112" spans="16:17" x14ac:dyDescent="0.25">
      <c r="P5112" s="220"/>
      <c r="Q5112" s="366"/>
    </row>
    <row r="5113" spans="16:17" x14ac:dyDescent="0.25">
      <c r="P5113" s="220"/>
      <c r="Q5113" s="366"/>
    </row>
    <row r="5114" spans="16:17" x14ac:dyDescent="0.25">
      <c r="P5114" s="220"/>
      <c r="Q5114" s="366"/>
    </row>
    <row r="5115" spans="16:17" x14ac:dyDescent="0.25">
      <c r="P5115" s="220"/>
      <c r="Q5115" s="366"/>
    </row>
    <row r="5116" spans="16:17" x14ac:dyDescent="0.25">
      <c r="P5116" s="220"/>
      <c r="Q5116" s="366"/>
    </row>
    <row r="5117" spans="16:17" x14ac:dyDescent="0.25">
      <c r="P5117" s="220"/>
      <c r="Q5117" s="366"/>
    </row>
    <row r="5118" spans="16:17" x14ac:dyDescent="0.25">
      <c r="P5118" s="220"/>
      <c r="Q5118" s="366"/>
    </row>
    <row r="5119" spans="16:17" x14ac:dyDescent="0.25">
      <c r="P5119" s="220"/>
      <c r="Q5119" s="366"/>
    </row>
    <row r="5120" spans="16:17" x14ac:dyDescent="0.25">
      <c r="P5120" s="220"/>
      <c r="Q5120" s="366"/>
    </row>
    <row r="5121" spans="16:17" x14ac:dyDescent="0.25">
      <c r="P5121" s="220"/>
      <c r="Q5121" s="366"/>
    </row>
    <row r="5122" spans="16:17" x14ac:dyDescent="0.25">
      <c r="P5122" s="220"/>
      <c r="Q5122" s="366"/>
    </row>
    <row r="5123" spans="16:17" x14ac:dyDescent="0.25">
      <c r="P5123" s="220"/>
      <c r="Q5123" s="366"/>
    </row>
    <row r="5124" spans="16:17" x14ac:dyDescent="0.25">
      <c r="P5124" s="220"/>
      <c r="Q5124" s="366"/>
    </row>
    <row r="5125" spans="16:17" x14ac:dyDescent="0.25">
      <c r="P5125" s="220"/>
      <c r="Q5125" s="366"/>
    </row>
    <row r="5126" spans="16:17" x14ac:dyDescent="0.25">
      <c r="P5126" s="220"/>
      <c r="Q5126" s="366"/>
    </row>
    <row r="5127" spans="16:17" x14ac:dyDescent="0.25">
      <c r="P5127" s="220"/>
      <c r="Q5127" s="366"/>
    </row>
    <row r="5128" spans="16:17" x14ac:dyDescent="0.25">
      <c r="P5128" s="220"/>
      <c r="Q5128" s="366"/>
    </row>
    <row r="5129" spans="16:17" x14ac:dyDescent="0.25">
      <c r="P5129" s="220"/>
      <c r="Q5129" s="366"/>
    </row>
    <row r="5130" spans="16:17" x14ac:dyDescent="0.25">
      <c r="P5130" s="220"/>
      <c r="Q5130" s="366"/>
    </row>
    <row r="5131" spans="16:17" x14ac:dyDescent="0.25">
      <c r="P5131" s="220"/>
      <c r="Q5131" s="366"/>
    </row>
    <row r="5132" spans="16:17" x14ac:dyDescent="0.25">
      <c r="P5132" s="220"/>
      <c r="Q5132" s="366"/>
    </row>
    <row r="5133" spans="16:17" x14ac:dyDescent="0.25">
      <c r="P5133" s="220"/>
      <c r="Q5133" s="366"/>
    </row>
    <row r="5134" spans="16:17" x14ac:dyDescent="0.25">
      <c r="P5134" s="220"/>
      <c r="Q5134" s="366"/>
    </row>
    <row r="5135" spans="16:17" x14ac:dyDescent="0.25">
      <c r="P5135" s="220"/>
      <c r="Q5135" s="366"/>
    </row>
    <row r="5136" spans="16:17" x14ac:dyDescent="0.25">
      <c r="P5136" s="220"/>
      <c r="Q5136" s="366"/>
    </row>
    <row r="5137" spans="16:17" x14ac:dyDescent="0.25">
      <c r="P5137" s="220"/>
      <c r="Q5137" s="366"/>
    </row>
    <row r="5138" spans="16:17" x14ac:dyDescent="0.25">
      <c r="P5138" s="220"/>
      <c r="Q5138" s="366"/>
    </row>
    <row r="5139" spans="16:17" x14ac:dyDescent="0.25">
      <c r="P5139" s="220"/>
      <c r="Q5139" s="366"/>
    </row>
    <row r="5140" spans="16:17" x14ac:dyDescent="0.25">
      <c r="P5140" s="220"/>
      <c r="Q5140" s="366"/>
    </row>
    <row r="5141" spans="16:17" x14ac:dyDescent="0.25">
      <c r="P5141" s="220"/>
      <c r="Q5141" s="366"/>
    </row>
    <row r="5142" spans="16:17" x14ac:dyDescent="0.25">
      <c r="P5142" s="220"/>
      <c r="Q5142" s="366"/>
    </row>
    <row r="5143" spans="16:17" x14ac:dyDescent="0.25">
      <c r="P5143" s="220"/>
      <c r="Q5143" s="366"/>
    </row>
    <row r="5144" spans="16:17" x14ac:dyDescent="0.25">
      <c r="P5144" s="220"/>
      <c r="Q5144" s="366"/>
    </row>
    <row r="5145" spans="16:17" x14ac:dyDescent="0.25">
      <c r="P5145" s="220"/>
      <c r="Q5145" s="366"/>
    </row>
    <row r="5146" spans="16:17" x14ac:dyDescent="0.25">
      <c r="P5146" s="220"/>
      <c r="Q5146" s="366"/>
    </row>
    <row r="5147" spans="16:17" x14ac:dyDescent="0.25">
      <c r="P5147" s="220"/>
      <c r="Q5147" s="366"/>
    </row>
    <row r="5148" spans="16:17" x14ac:dyDescent="0.25">
      <c r="P5148" s="220"/>
      <c r="Q5148" s="366"/>
    </row>
    <row r="5149" spans="16:17" x14ac:dyDescent="0.25">
      <c r="P5149" s="220"/>
      <c r="Q5149" s="366"/>
    </row>
    <row r="5150" spans="16:17" x14ac:dyDescent="0.25">
      <c r="P5150" s="220"/>
      <c r="Q5150" s="366"/>
    </row>
    <row r="5151" spans="16:17" x14ac:dyDescent="0.25">
      <c r="P5151" s="220"/>
      <c r="Q5151" s="366"/>
    </row>
    <row r="5152" spans="16:17" x14ac:dyDescent="0.25">
      <c r="P5152" s="220"/>
      <c r="Q5152" s="366"/>
    </row>
    <row r="5153" spans="16:17" x14ac:dyDescent="0.25">
      <c r="P5153" s="220"/>
      <c r="Q5153" s="366"/>
    </row>
    <row r="5154" spans="16:17" x14ac:dyDescent="0.25">
      <c r="P5154" s="220"/>
      <c r="Q5154" s="366"/>
    </row>
    <row r="5155" spans="16:17" x14ac:dyDescent="0.25">
      <c r="P5155" s="220"/>
      <c r="Q5155" s="366"/>
    </row>
    <row r="5156" spans="16:17" x14ac:dyDescent="0.25">
      <c r="P5156" s="220"/>
      <c r="Q5156" s="366"/>
    </row>
    <row r="5157" spans="16:17" x14ac:dyDescent="0.25">
      <c r="P5157" s="220"/>
      <c r="Q5157" s="366"/>
    </row>
    <row r="5158" spans="16:17" x14ac:dyDescent="0.25">
      <c r="P5158" s="220"/>
      <c r="Q5158" s="366"/>
    </row>
    <row r="5159" spans="16:17" x14ac:dyDescent="0.25">
      <c r="P5159" s="220"/>
      <c r="Q5159" s="366"/>
    </row>
    <row r="5160" spans="16:17" x14ac:dyDescent="0.25">
      <c r="P5160" s="220"/>
      <c r="Q5160" s="366"/>
    </row>
    <row r="5161" spans="16:17" x14ac:dyDescent="0.25">
      <c r="P5161" s="220"/>
      <c r="Q5161" s="366"/>
    </row>
    <row r="5162" spans="16:17" x14ac:dyDescent="0.25">
      <c r="P5162" s="220"/>
      <c r="Q5162" s="366"/>
    </row>
    <row r="5163" spans="16:17" x14ac:dyDescent="0.25">
      <c r="P5163" s="220"/>
      <c r="Q5163" s="366"/>
    </row>
    <row r="5164" spans="16:17" x14ac:dyDescent="0.25">
      <c r="P5164" s="220"/>
      <c r="Q5164" s="366"/>
    </row>
    <row r="5165" spans="16:17" x14ac:dyDescent="0.25">
      <c r="P5165" s="220"/>
      <c r="Q5165" s="366"/>
    </row>
    <row r="5166" spans="16:17" x14ac:dyDescent="0.25">
      <c r="P5166" s="220"/>
      <c r="Q5166" s="366"/>
    </row>
    <row r="5167" spans="16:17" x14ac:dyDescent="0.25">
      <c r="P5167" s="220"/>
      <c r="Q5167" s="366"/>
    </row>
    <row r="5168" spans="16:17" x14ac:dyDescent="0.25">
      <c r="P5168" s="220"/>
      <c r="Q5168" s="366"/>
    </row>
    <row r="5169" spans="16:17" x14ac:dyDescent="0.25">
      <c r="P5169" s="220"/>
      <c r="Q5169" s="366"/>
    </row>
    <row r="5170" spans="16:17" x14ac:dyDescent="0.25">
      <c r="P5170" s="220"/>
      <c r="Q5170" s="366"/>
    </row>
    <row r="5171" spans="16:17" x14ac:dyDescent="0.25">
      <c r="P5171" s="220"/>
      <c r="Q5171" s="366"/>
    </row>
    <row r="5172" spans="16:17" x14ac:dyDescent="0.25">
      <c r="P5172" s="220"/>
      <c r="Q5172" s="366"/>
    </row>
    <row r="5173" spans="16:17" x14ac:dyDescent="0.25">
      <c r="P5173" s="220"/>
      <c r="Q5173" s="366"/>
    </row>
    <row r="5174" spans="16:17" x14ac:dyDescent="0.25">
      <c r="P5174" s="220"/>
      <c r="Q5174" s="366"/>
    </row>
    <row r="5175" spans="16:17" x14ac:dyDescent="0.25">
      <c r="P5175" s="220"/>
      <c r="Q5175" s="366"/>
    </row>
    <row r="5176" spans="16:17" x14ac:dyDescent="0.25">
      <c r="P5176" s="220"/>
      <c r="Q5176" s="366"/>
    </row>
    <row r="5177" spans="16:17" x14ac:dyDescent="0.25">
      <c r="P5177" s="220"/>
      <c r="Q5177" s="366"/>
    </row>
    <row r="5178" spans="16:17" x14ac:dyDescent="0.25">
      <c r="P5178" s="220"/>
      <c r="Q5178" s="366"/>
    </row>
    <row r="5179" spans="16:17" x14ac:dyDescent="0.25">
      <c r="P5179" s="220"/>
      <c r="Q5179" s="366"/>
    </row>
    <row r="5180" spans="16:17" x14ac:dyDescent="0.25">
      <c r="P5180" s="220"/>
      <c r="Q5180" s="366"/>
    </row>
    <row r="5181" spans="16:17" x14ac:dyDescent="0.25">
      <c r="P5181" s="220"/>
      <c r="Q5181" s="366"/>
    </row>
    <row r="5182" spans="16:17" x14ac:dyDescent="0.25">
      <c r="P5182" s="220"/>
      <c r="Q5182" s="366"/>
    </row>
    <row r="5183" spans="16:17" x14ac:dyDescent="0.25">
      <c r="P5183" s="220"/>
      <c r="Q5183" s="366"/>
    </row>
    <row r="5184" spans="16:17" x14ac:dyDescent="0.25">
      <c r="P5184" s="220"/>
      <c r="Q5184" s="366"/>
    </row>
    <row r="5185" spans="16:17" x14ac:dyDescent="0.25">
      <c r="P5185" s="220"/>
      <c r="Q5185" s="366"/>
    </row>
    <row r="5186" spans="16:17" x14ac:dyDescent="0.25">
      <c r="P5186" s="220"/>
      <c r="Q5186" s="366"/>
    </row>
    <row r="5187" spans="16:17" x14ac:dyDescent="0.25">
      <c r="P5187" s="220"/>
      <c r="Q5187" s="366"/>
    </row>
    <row r="5188" spans="16:17" x14ac:dyDescent="0.25">
      <c r="P5188" s="220"/>
      <c r="Q5188" s="366"/>
    </row>
    <row r="5189" spans="16:17" x14ac:dyDescent="0.25">
      <c r="P5189" s="220"/>
      <c r="Q5189" s="366"/>
    </row>
    <row r="5190" spans="16:17" x14ac:dyDescent="0.25">
      <c r="P5190" s="220"/>
      <c r="Q5190" s="366"/>
    </row>
    <row r="5191" spans="16:17" x14ac:dyDescent="0.25">
      <c r="P5191" s="220"/>
      <c r="Q5191" s="366"/>
    </row>
    <row r="5192" spans="16:17" x14ac:dyDescent="0.25">
      <c r="P5192" s="220"/>
      <c r="Q5192" s="366"/>
    </row>
    <row r="5193" spans="16:17" x14ac:dyDescent="0.25">
      <c r="P5193" s="220"/>
      <c r="Q5193" s="366"/>
    </row>
    <row r="5194" spans="16:17" x14ac:dyDescent="0.25">
      <c r="P5194" s="220"/>
      <c r="Q5194" s="366"/>
    </row>
    <row r="5195" spans="16:17" x14ac:dyDescent="0.25">
      <c r="P5195" s="220"/>
      <c r="Q5195" s="366"/>
    </row>
    <row r="5196" spans="16:17" x14ac:dyDescent="0.25">
      <c r="P5196" s="220"/>
      <c r="Q5196" s="366"/>
    </row>
    <row r="5197" spans="16:17" x14ac:dyDescent="0.25">
      <c r="P5197" s="220"/>
      <c r="Q5197" s="366"/>
    </row>
    <row r="5198" spans="16:17" x14ac:dyDescent="0.25">
      <c r="P5198" s="220"/>
      <c r="Q5198" s="366"/>
    </row>
    <row r="5199" spans="16:17" x14ac:dyDescent="0.25">
      <c r="P5199" s="220"/>
      <c r="Q5199" s="366"/>
    </row>
    <row r="5200" spans="16:17" x14ac:dyDescent="0.25">
      <c r="P5200" s="220"/>
      <c r="Q5200" s="366"/>
    </row>
    <row r="5201" spans="16:17" x14ac:dyDescent="0.25">
      <c r="P5201" s="220"/>
      <c r="Q5201" s="366"/>
    </row>
    <row r="5202" spans="16:17" x14ac:dyDescent="0.25">
      <c r="P5202" s="220"/>
      <c r="Q5202" s="366"/>
    </row>
    <row r="5203" spans="16:17" x14ac:dyDescent="0.25">
      <c r="P5203" s="220"/>
      <c r="Q5203" s="366"/>
    </row>
    <row r="5204" spans="16:17" x14ac:dyDescent="0.25">
      <c r="P5204" s="220"/>
      <c r="Q5204" s="366"/>
    </row>
    <row r="5205" spans="16:17" x14ac:dyDescent="0.25">
      <c r="P5205" s="220"/>
      <c r="Q5205" s="366"/>
    </row>
    <row r="5206" spans="16:17" x14ac:dyDescent="0.25">
      <c r="P5206" s="220"/>
      <c r="Q5206" s="366"/>
    </row>
    <row r="5207" spans="16:17" x14ac:dyDescent="0.25">
      <c r="P5207" s="220"/>
      <c r="Q5207" s="366"/>
    </row>
    <row r="5208" spans="16:17" x14ac:dyDescent="0.25">
      <c r="P5208" s="220"/>
      <c r="Q5208" s="366"/>
    </row>
    <row r="5209" spans="16:17" x14ac:dyDescent="0.25">
      <c r="P5209" s="220"/>
      <c r="Q5209" s="366"/>
    </row>
    <row r="5210" spans="16:17" x14ac:dyDescent="0.25">
      <c r="P5210" s="220"/>
      <c r="Q5210" s="366"/>
    </row>
    <row r="5211" spans="16:17" x14ac:dyDescent="0.25">
      <c r="P5211" s="220"/>
      <c r="Q5211" s="366"/>
    </row>
    <row r="5212" spans="16:17" x14ac:dyDescent="0.25">
      <c r="P5212" s="220"/>
      <c r="Q5212" s="366"/>
    </row>
    <row r="5213" spans="16:17" x14ac:dyDescent="0.25">
      <c r="P5213" s="220"/>
      <c r="Q5213" s="366"/>
    </row>
    <row r="5214" spans="16:17" x14ac:dyDescent="0.25">
      <c r="P5214" s="220"/>
      <c r="Q5214" s="366"/>
    </row>
    <row r="5215" spans="16:17" x14ac:dyDescent="0.25">
      <c r="P5215" s="220"/>
      <c r="Q5215" s="366"/>
    </row>
    <row r="5216" spans="16:17" x14ac:dyDescent="0.25">
      <c r="P5216" s="220"/>
      <c r="Q5216" s="366"/>
    </row>
    <row r="5217" spans="16:17" x14ac:dyDescent="0.25">
      <c r="P5217" s="220"/>
      <c r="Q5217" s="366"/>
    </row>
    <row r="5218" spans="16:17" x14ac:dyDescent="0.25">
      <c r="P5218" s="220"/>
      <c r="Q5218" s="366"/>
    </row>
    <row r="5219" spans="16:17" x14ac:dyDescent="0.25">
      <c r="P5219" s="220"/>
      <c r="Q5219" s="366"/>
    </row>
    <row r="5220" spans="16:17" x14ac:dyDescent="0.25">
      <c r="P5220" s="220"/>
      <c r="Q5220" s="366"/>
    </row>
    <row r="5221" spans="16:17" x14ac:dyDescent="0.25">
      <c r="P5221" s="220"/>
      <c r="Q5221" s="366"/>
    </row>
    <row r="5222" spans="16:17" x14ac:dyDescent="0.25">
      <c r="P5222" s="220"/>
      <c r="Q5222" s="366"/>
    </row>
    <row r="5223" spans="16:17" x14ac:dyDescent="0.25">
      <c r="P5223" s="220"/>
      <c r="Q5223" s="366"/>
    </row>
    <row r="5224" spans="16:17" x14ac:dyDescent="0.25">
      <c r="P5224" s="220"/>
      <c r="Q5224" s="366"/>
    </row>
    <row r="5225" spans="16:17" x14ac:dyDescent="0.25">
      <c r="P5225" s="220"/>
      <c r="Q5225" s="366"/>
    </row>
    <row r="5226" spans="16:17" x14ac:dyDescent="0.25">
      <c r="P5226" s="220"/>
      <c r="Q5226" s="366"/>
    </row>
    <row r="5227" spans="16:17" x14ac:dyDescent="0.25">
      <c r="P5227" s="220"/>
      <c r="Q5227" s="366"/>
    </row>
    <row r="5228" spans="16:17" x14ac:dyDescent="0.25">
      <c r="P5228" s="220"/>
      <c r="Q5228" s="366"/>
    </row>
    <row r="5229" spans="16:17" x14ac:dyDescent="0.25">
      <c r="P5229" s="220"/>
      <c r="Q5229" s="366"/>
    </row>
    <row r="5230" spans="16:17" x14ac:dyDescent="0.25">
      <c r="P5230" s="220"/>
      <c r="Q5230" s="366"/>
    </row>
    <row r="5231" spans="16:17" x14ac:dyDescent="0.25">
      <c r="P5231" s="220"/>
      <c r="Q5231" s="366"/>
    </row>
    <row r="5232" spans="16:17" x14ac:dyDescent="0.25">
      <c r="P5232" s="220"/>
      <c r="Q5232" s="366"/>
    </row>
    <row r="5233" spans="16:17" x14ac:dyDescent="0.25">
      <c r="P5233" s="220"/>
      <c r="Q5233" s="366"/>
    </row>
    <row r="5234" spans="16:17" x14ac:dyDescent="0.25">
      <c r="P5234" s="220"/>
      <c r="Q5234" s="366"/>
    </row>
    <row r="5235" spans="16:17" x14ac:dyDescent="0.25">
      <c r="P5235" s="220"/>
      <c r="Q5235" s="366"/>
    </row>
    <row r="5236" spans="16:17" x14ac:dyDescent="0.25">
      <c r="P5236" s="220"/>
      <c r="Q5236" s="366"/>
    </row>
    <row r="5237" spans="16:17" x14ac:dyDescent="0.25">
      <c r="P5237" s="220"/>
      <c r="Q5237" s="366"/>
    </row>
    <row r="5238" spans="16:17" x14ac:dyDescent="0.25">
      <c r="P5238" s="220"/>
      <c r="Q5238" s="366"/>
    </row>
    <row r="5239" spans="16:17" x14ac:dyDescent="0.25">
      <c r="P5239" s="220"/>
      <c r="Q5239" s="366"/>
    </row>
    <row r="5240" spans="16:17" x14ac:dyDescent="0.25">
      <c r="P5240" s="220"/>
      <c r="Q5240" s="366"/>
    </row>
    <row r="5241" spans="16:17" x14ac:dyDescent="0.25">
      <c r="P5241" s="220"/>
      <c r="Q5241" s="366"/>
    </row>
    <row r="5242" spans="16:17" x14ac:dyDescent="0.25">
      <c r="P5242" s="220"/>
      <c r="Q5242" s="366"/>
    </row>
    <row r="5243" spans="16:17" x14ac:dyDescent="0.25">
      <c r="P5243" s="220"/>
      <c r="Q5243" s="366"/>
    </row>
    <row r="5244" spans="16:17" x14ac:dyDescent="0.25">
      <c r="P5244" s="220"/>
      <c r="Q5244" s="366"/>
    </row>
    <row r="5245" spans="16:17" x14ac:dyDescent="0.25">
      <c r="P5245" s="220"/>
      <c r="Q5245" s="366"/>
    </row>
    <row r="5246" spans="16:17" x14ac:dyDescent="0.25">
      <c r="P5246" s="220"/>
      <c r="Q5246" s="366"/>
    </row>
    <row r="5247" spans="16:17" x14ac:dyDescent="0.25">
      <c r="P5247" s="220"/>
      <c r="Q5247" s="366"/>
    </row>
    <row r="5248" spans="16:17" x14ac:dyDescent="0.25">
      <c r="P5248" s="220"/>
      <c r="Q5248" s="366"/>
    </row>
    <row r="5249" spans="16:17" x14ac:dyDescent="0.25">
      <c r="P5249" s="220"/>
      <c r="Q5249" s="366"/>
    </row>
    <row r="5250" spans="16:17" x14ac:dyDescent="0.25">
      <c r="P5250" s="220"/>
      <c r="Q5250" s="366"/>
    </row>
    <row r="5251" spans="16:17" x14ac:dyDescent="0.25">
      <c r="P5251" s="220"/>
      <c r="Q5251" s="366"/>
    </row>
    <row r="5252" spans="16:17" x14ac:dyDescent="0.25">
      <c r="P5252" s="220"/>
      <c r="Q5252" s="366"/>
    </row>
    <row r="5253" spans="16:17" x14ac:dyDescent="0.25">
      <c r="P5253" s="220"/>
      <c r="Q5253" s="366"/>
    </row>
    <row r="5254" spans="16:17" x14ac:dyDescent="0.25">
      <c r="P5254" s="220"/>
      <c r="Q5254" s="366"/>
    </row>
    <row r="5255" spans="16:17" x14ac:dyDescent="0.25">
      <c r="P5255" s="220"/>
      <c r="Q5255" s="366"/>
    </row>
    <row r="5256" spans="16:17" x14ac:dyDescent="0.25">
      <c r="P5256" s="220"/>
      <c r="Q5256" s="366"/>
    </row>
    <row r="5257" spans="16:17" x14ac:dyDescent="0.25">
      <c r="P5257" s="220"/>
      <c r="Q5257" s="366"/>
    </row>
    <row r="5258" spans="16:17" x14ac:dyDescent="0.25">
      <c r="P5258" s="220"/>
      <c r="Q5258" s="366"/>
    </row>
    <row r="5259" spans="16:17" x14ac:dyDescent="0.25">
      <c r="P5259" s="220"/>
      <c r="Q5259" s="366"/>
    </row>
    <row r="5260" spans="16:17" x14ac:dyDescent="0.25">
      <c r="P5260" s="220"/>
      <c r="Q5260" s="366"/>
    </row>
    <row r="5261" spans="16:17" x14ac:dyDescent="0.25">
      <c r="P5261" s="220"/>
      <c r="Q5261" s="366"/>
    </row>
    <row r="5262" spans="16:17" x14ac:dyDescent="0.25">
      <c r="P5262" s="220"/>
      <c r="Q5262" s="366"/>
    </row>
    <row r="5263" spans="16:17" x14ac:dyDescent="0.25">
      <c r="P5263" s="220"/>
      <c r="Q5263" s="366"/>
    </row>
    <row r="5264" spans="16:17" x14ac:dyDescent="0.25">
      <c r="P5264" s="220"/>
      <c r="Q5264" s="366"/>
    </row>
    <row r="5265" spans="16:17" x14ac:dyDescent="0.25">
      <c r="P5265" s="220"/>
      <c r="Q5265" s="366"/>
    </row>
    <row r="5266" spans="16:17" x14ac:dyDescent="0.25">
      <c r="P5266" s="220"/>
      <c r="Q5266" s="366"/>
    </row>
    <row r="5267" spans="16:17" x14ac:dyDescent="0.25">
      <c r="P5267" s="220"/>
      <c r="Q5267" s="366"/>
    </row>
    <row r="5268" spans="16:17" x14ac:dyDescent="0.25">
      <c r="P5268" s="220"/>
      <c r="Q5268" s="366"/>
    </row>
    <row r="5269" spans="16:17" x14ac:dyDescent="0.25">
      <c r="P5269" s="220"/>
      <c r="Q5269" s="366"/>
    </row>
    <row r="5270" spans="16:17" x14ac:dyDescent="0.25">
      <c r="P5270" s="220"/>
      <c r="Q5270" s="366"/>
    </row>
    <row r="5271" spans="16:17" x14ac:dyDescent="0.25">
      <c r="P5271" s="220"/>
      <c r="Q5271" s="366"/>
    </row>
    <row r="5272" spans="16:17" x14ac:dyDescent="0.25">
      <c r="P5272" s="220"/>
      <c r="Q5272" s="366"/>
    </row>
    <row r="5273" spans="16:17" x14ac:dyDescent="0.25">
      <c r="P5273" s="220"/>
      <c r="Q5273" s="366"/>
    </row>
    <row r="5274" spans="16:17" x14ac:dyDescent="0.25">
      <c r="P5274" s="220"/>
      <c r="Q5274" s="366"/>
    </row>
    <row r="5275" spans="16:17" x14ac:dyDescent="0.25">
      <c r="P5275" s="220"/>
      <c r="Q5275" s="366"/>
    </row>
    <row r="5276" spans="16:17" x14ac:dyDescent="0.25">
      <c r="P5276" s="220"/>
      <c r="Q5276" s="366"/>
    </row>
    <row r="5277" spans="16:17" x14ac:dyDescent="0.25">
      <c r="P5277" s="220"/>
      <c r="Q5277" s="366"/>
    </row>
    <row r="5278" spans="16:17" x14ac:dyDescent="0.25">
      <c r="P5278" s="220"/>
      <c r="Q5278" s="366"/>
    </row>
    <row r="5279" spans="16:17" x14ac:dyDescent="0.25">
      <c r="P5279" s="220"/>
      <c r="Q5279" s="366"/>
    </row>
    <row r="5280" spans="16:17" x14ac:dyDescent="0.25">
      <c r="P5280" s="220"/>
      <c r="Q5280" s="366"/>
    </row>
    <row r="5281" spans="16:17" x14ac:dyDescent="0.25">
      <c r="P5281" s="220"/>
      <c r="Q5281" s="366"/>
    </row>
    <row r="5282" spans="16:17" x14ac:dyDescent="0.25">
      <c r="P5282" s="220"/>
      <c r="Q5282" s="366"/>
    </row>
    <row r="5283" spans="16:17" x14ac:dyDescent="0.25">
      <c r="P5283" s="220"/>
      <c r="Q5283" s="366"/>
    </row>
    <row r="5284" spans="16:17" x14ac:dyDescent="0.25">
      <c r="P5284" s="220"/>
      <c r="Q5284" s="366"/>
    </row>
    <row r="5285" spans="16:17" x14ac:dyDescent="0.25">
      <c r="P5285" s="220"/>
      <c r="Q5285" s="366"/>
    </row>
    <row r="5286" spans="16:17" x14ac:dyDescent="0.25">
      <c r="P5286" s="220"/>
      <c r="Q5286" s="366"/>
    </row>
    <row r="5287" spans="16:17" x14ac:dyDescent="0.25">
      <c r="P5287" s="220"/>
      <c r="Q5287" s="366"/>
    </row>
    <row r="5288" spans="16:17" x14ac:dyDescent="0.25">
      <c r="P5288" s="220"/>
      <c r="Q5288" s="366"/>
    </row>
    <row r="5289" spans="16:17" x14ac:dyDescent="0.25">
      <c r="P5289" s="220"/>
      <c r="Q5289" s="366"/>
    </row>
    <row r="5290" spans="16:17" x14ac:dyDescent="0.25">
      <c r="P5290" s="220"/>
      <c r="Q5290" s="366"/>
    </row>
    <row r="5291" spans="16:17" x14ac:dyDescent="0.25">
      <c r="P5291" s="220"/>
      <c r="Q5291" s="366"/>
    </row>
    <row r="5292" spans="16:17" x14ac:dyDescent="0.25">
      <c r="P5292" s="220"/>
      <c r="Q5292" s="366"/>
    </row>
    <row r="5293" spans="16:17" x14ac:dyDescent="0.25">
      <c r="P5293" s="220"/>
      <c r="Q5293" s="366"/>
    </row>
    <row r="5294" spans="16:17" x14ac:dyDescent="0.25">
      <c r="P5294" s="220"/>
      <c r="Q5294" s="366"/>
    </row>
    <row r="5295" spans="16:17" x14ac:dyDescent="0.25">
      <c r="P5295" s="220"/>
      <c r="Q5295" s="366"/>
    </row>
    <row r="5296" spans="16:17" x14ac:dyDescent="0.25">
      <c r="P5296" s="220"/>
      <c r="Q5296" s="366"/>
    </row>
    <row r="5297" spans="16:17" x14ac:dyDescent="0.25">
      <c r="P5297" s="220"/>
      <c r="Q5297" s="366"/>
    </row>
    <row r="5298" spans="16:17" x14ac:dyDescent="0.25">
      <c r="P5298" s="220"/>
      <c r="Q5298" s="366"/>
    </row>
    <row r="5299" spans="16:17" x14ac:dyDescent="0.25">
      <c r="P5299" s="220"/>
      <c r="Q5299" s="366"/>
    </row>
    <row r="5300" spans="16:17" x14ac:dyDescent="0.25">
      <c r="P5300" s="220"/>
      <c r="Q5300" s="366"/>
    </row>
    <row r="5301" spans="16:17" x14ac:dyDescent="0.25">
      <c r="P5301" s="220"/>
      <c r="Q5301" s="366"/>
    </row>
    <row r="5302" spans="16:17" x14ac:dyDescent="0.25">
      <c r="P5302" s="220"/>
      <c r="Q5302" s="366"/>
    </row>
    <row r="5303" spans="16:17" x14ac:dyDescent="0.25">
      <c r="P5303" s="220"/>
      <c r="Q5303" s="366"/>
    </row>
    <row r="5304" spans="16:17" x14ac:dyDescent="0.25">
      <c r="P5304" s="220"/>
      <c r="Q5304" s="366"/>
    </row>
    <row r="5305" spans="16:17" x14ac:dyDescent="0.25">
      <c r="P5305" s="220"/>
      <c r="Q5305" s="366"/>
    </row>
    <row r="5306" spans="16:17" x14ac:dyDescent="0.25">
      <c r="P5306" s="220"/>
      <c r="Q5306" s="366"/>
    </row>
    <row r="5307" spans="16:17" x14ac:dyDescent="0.25">
      <c r="P5307" s="220"/>
      <c r="Q5307" s="366"/>
    </row>
    <row r="5308" spans="16:17" x14ac:dyDescent="0.25">
      <c r="P5308" s="220"/>
      <c r="Q5308" s="366"/>
    </row>
    <row r="5309" spans="16:17" x14ac:dyDescent="0.25">
      <c r="P5309" s="220"/>
      <c r="Q5309" s="366"/>
    </row>
    <row r="5310" spans="16:17" x14ac:dyDescent="0.25">
      <c r="P5310" s="220"/>
      <c r="Q5310" s="366"/>
    </row>
    <row r="5311" spans="16:17" x14ac:dyDescent="0.25">
      <c r="P5311" s="220"/>
      <c r="Q5311" s="366"/>
    </row>
    <row r="5312" spans="16:17" x14ac:dyDescent="0.25">
      <c r="P5312" s="220"/>
      <c r="Q5312" s="366"/>
    </row>
    <row r="5313" spans="16:17" x14ac:dyDescent="0.25">
      <c r="P5313" s="220"/>
      <c r="Q5313" s="366"/>
    </row>
    <row r="5314" spans="16:17" x14ac:dyDescent="0.25">
      <c r="P5314" s="220"/>
      <c r="Q5314" s="366"/>
    </row>
    <row r="5315" spans="16:17" x14ac:dyDescent="0.25">
      <c r="P5315" s="220"/>
      <c r="Q5315" s="366"/>
    </row>
    <row r="5316" spans="16:17" x14ac:dyDescent="0.25">
      <c r="P5316" s="220"/>
      <c r="Q5316" s="366"/>
    </row>
    <row r="5317" spans="16:17" x14ac:dyDescent="0.25">
      <c r="P5317" s="220"/>
      <c r="Q5317" s="366"/>
    </row>
    <row r="5318" spans="16:17" x14ac:dyDescent="0.25">
      <c r="P5318" s="220"/>
      <c r="Q5318" s="366"/>
    </row>
    <row r="5319" spans="16:17" x14ac:dyDescent="0.25">
      <c r="P5319" s="220"/>
      <c r="Q5319" s="366"/>
    </row>
    <row r="5320" spans="16:17" x14ac:dyDescent="0.25">
      <c r="P5320" s="220"/>
      <c r="Q5320" s="366"/>
    </row>
    <row r="5321" spans="16:17" x14ac:dyDescent="0.25">
      <c r="P5321" s="220"/>
      <c r="Q5321" s="366"/>
    </row>
    <row r="5322" spans="16:17" x14ac:dyDescent="0.25">
      <c r="P5322" s="220"/>
      <c r="Q5322" s="366"/>
    </row>
    <row r="5323" spans="16:17" x14ac:dyDescent="0.25">
      <c r="P5323" s="220"/>
      <c r="Q5323" s="366"/>
    </row>
    <row r="5324" spans="16:17" x14ac:dyDescent="0.25">
      <c r="P5324" s="220"/>
      <c r="Q5324" s="366"/>
    </row>
    <row r="5325" spans="16:17" x14ac:dyDescent="0.25">
      <c r="P5325" s="220"/>
      <c r="Q5325" s="366"/>
    </row>
    <row r="5326" spans="16:17" x14ac:dyDescent="0.25">
      <c r="P5326" s="220"/>
      <c r="Q5326" s="366"/>
    </row>
    <row r="5327" spans="16:17" x14ac:dyDescent="0.25">
      <c r="P5327" s="220"/>
      <c r="Q5327" s="366"/>
    </row>
    <row r="5328" spans="16:17" x14ac:dyDescent="0.25">
      <c r="P5328" s="220"/>
      <c r="Q5328" s="366"/>
    </row>
    <row r="5329" spans="16:17" x14ac:dyDescent="0.25">
      <c r="P5329" s="220"/>
      <c r="Q5329" s="366"/>
    </row>
    <row r="5330" spans="16:17" x14ac:dyDescent="0.25">
      <c r="P5330" s="220"/>
      <c r="Q5330" s="366"/>
    </row>
    <row r="5331" spans="16:17" x14ac:dyDescent="0.25">
      <c r="P5331" s="220"/>
      <c r="Q5331" s="366"/>
    </row>
    <row r="5332" spans="16:17" x14ac:dyDescent="0.25">
      <c r="P5332" s="220"/>
      <c r="Q5332" s="366"/>
    </row>
    <row r="5333" spans="16:17" x14ac:dyDescent="0.25">
      <c r="P5333" s="220"/>
      <c r="Q5333" s="366"/>
    </row>
    <row r="5334" spans="16:17" x14ac:dyDescent="0.25">
      <c r="P5334" s="220"/>
      <c r="Q5334" s="366"/>
    </row>
    <row r="5335" spans="16:17" x14ac:dyDescent="0.25">
      <c r="P5335" s="220"/>
      <c r="Q5335" s="366"/>
    </row>
    <row r="5336" spans="16:17" x14ac:dyDescent="0.25">
      <c r="P5336" s="220"/>
      <c r="Q5336" s="366"/>
    </row>
    <row r="5337" spans="16:17" x14ac:dyDescent="0.25">
      <c r="P5337" s="220"/>
      <c r="Q5337" s="366"/>
    </row>
    <row r="5338" spans="16:17" x14ac:dyDescent="0.25">
      <c r="P5338" s="220"/>
      <c r="Q5338" s="366"/>
    </row>
    <row r="5339" spans="16:17" x14ac:dyDescent="0.25">
      <c r="P5339" s="220"/>
      <c r="Q5339" s="366"/>
    </row>
    <row r="5340" spans="16:17" x14ac:dyDescent="0.25">
      <c r="P5340" s="220"/>
      <c r="Q5340" s="366"/>
    </row>
    <row r="5341" spans="16:17" x14ac:dyDescent="0.25">
      <c r="P5341" s="220"/>
      <c r="Q5341" s="366"/>
    </row>
    <row r="5342" spans="16:17" x14ac:dyDescent="0.25">
      <c r="P5342" s="220"/>
      <c r="Q5342" s="366"/>
    </row>
    <row r="5343" spans="16:17" x14ac:dyDescent="0.25">
      <c r="P5343" s="220"/>
      <c r="Q5343" s="366"/>
    </row>
    <row r="5344" spans="16:17" x14ac:dyDescent="0.25">
      <c r="P5344" s="220"/>
      <c r="Q5344" s="366"/>
    </row>
    <row r="5345" spans="16:17" x14ac:dyDescent="0.25">
      <c r="P5345" s="220"/>
      <c r="Q5345" s="366"/>
    </row>
    <row r="5346" spans="16:17" x14ac:dyDescent="0.25">
      <c r="P5346" s="220"/>
      <c r="Q5346" s="366"/>
    </row>
    <row r="5347" spans="16:17" x14ac:dyDescent="0.25">
      <c r="P5347" s="220"/>
      <c r="Q5347" s="366"/>
    </row>
    <row r="5348" spans="16:17" x14ac:dyDescent="0.25">
      <c r="P5348" s="220"/>
      <c r="Q5348" s="366"/>
    </row>
    <row r="5349" spans="16:17" x14ac:dyDescent="0.25">
      <c r="P5349" s="220"/>
      <c r="Q5349" s="366"/>
    </row>
    <row r="5350" spans="16:17" x14ac:dyDescent="0.25">
      <c r="P5350" s="220"/>
      <c r="Q5350" s="366"/>
    </row>
    <row r="5351" spans="16:17" x14ac:dyDescent="0.25">
      <c r="P5351" s="220"/>
      <c r="Q5351" s="366"/>
    </row>
    <row r="5352" spans="16:17" x14ac:dyDescent="0.25">
      <c r="P5352" s="220"/>
      <c r="Q5352" s="366"/>
    </row>
    <row r="5353" spans="16:17" x14ac:dyDescent="0.25">
      <c r="P5353" s="220"/>
      <c r="Q5353" s="366"/>
    </row>
    <row r="5354" spans="16:17" x14ac:dyDescent="0.25">
      <c r="P5354" s="220"/>
      <c r="Q5354" s="366"/>
    </row>
    <row r="5355" spans="16:17" x14ac:dyDescent="0.25">
      <c r="P5355" s="220"/>
      <c r="Q5355" s="366"/>
    </row>
    <row r="5356" spans="16:17" x14ac:dyDescent="0.25">
      <c r="P5356" s="220"/>
      <c r="Q5356" s="366"/>
    </row>
    <row r="5357" spans="16:17" x14ac:dyDescent="0.25">
      <c r="P5357" s="220"/>
      <c r="Q5357" s="366"/>
    </row>
    <row r="5358" spans="16:17" x14ac:dyDescent="0.25">
      <c r="P5358" s="220"/>
      <c r="Q5358" s="366"/>
    </row>
    <row r="5359" spans="16:17" x14ac:dyDescent="0.25">
      <c r="P5359" s="220"/>
      <c r="Q5359" s="366"/>
    </row>
    <row r="5360" spans="16:17" x14ac:dyDescent="0.25">
      <c r="P5360" s="220"/>
      <c r="Q5360" s="366"/>
    </row>
    <row r="5361" spans="16:17" x14ac:dyDescent="0.25">
      <c r="P5361" s="220"/>
      <c r="Q5361" s="366"/>
    </row>
    <row r="5362" spans="16:17" x14ac:dyDescent="0.25">
      <c r="P5362" s="220"/>
      <c r="Q5362" s="366"/>
    </row>
    <row r="5363" spans="16:17" x14ac:dyDescent="0.25">
      <c r="P5363" s="220"/>
      <c r="Q5363" s="366"/>
    </row>
    <row r="5364" spans="16:17" x14ac:dyDescent="0.25">
      <c r="P5364" s="220"/>
      <c r="Q5364" s="366"/>
    </row>
    <row r="5365" spans="16:17" x14ac:dyDescent="0.25">
      <c r="P5365" s="220"/>
      <c r="Q5365" s="366"/>
    </row>
    <row r="5366" spans="16:17" x14ac:dyDescent="0.25">
      <c r="P5366" s="220"/>
      <c r="Q5366" s="366"/>
    </row>
    <row r="5367" spans="16:17" x14ac:dyDescent="0.25">
      <c r="P5367" s="220"/>
      <c r="Q5367" s="366"/>
    </row>
    <row r="5368" spans="16:17" x14ac:dyDescent="0.25">
      <c r="P5368" s="220"/>
      <c r="Q5368" s="366"/>
    </row>
    <row r="5369" spans="16:17" x14ac:dyDescent="0.25">
      <c r="P5369" s="220"/>
      <c r="Q5369" s="366"/>
    </row>
    <row r="5370" spans="16:17" x14ac:dyDescent="0.25">
      <c r="P5370" s="220"/>
      <c r="Q5370" s="366"/>
    </row>
    <row r="5371" spans="16:17" x14ac:dyDescent="0.25">
      <c r="P5371" s="220"/>
      <c r="Q5371" s="366"/>
    </row>
    <row r="5372" spans="16:17" x14ac:dyDescent="0.25">
      <c r="P5372" s="220"/>
      <c r="Q5372" s="366"/>
    </row>
    <row r="5373" spans="16:17" x14ac:dyDescent="0.25">
      <c r="P5373" s="220"/>
      <c r="Q5373" s="366"/>
    </row>
    <row r="5374" spans="16:17" x14ac:dyDescent="0.25">
      <c r="P5374" s="220"/>
      <c r="Q5374" s="366"/>
    </row>
    <row r="5375" spans="16:17" x14ac:dyDescent="0.25">
      <c r="P5375" s="220"/>
      <c r="Q5375" s="366"/>
    </row>
    <row r="5376" spans="16:17" x14ac:dyDescent="0.25">
      <c r="P5376" s="220"/>
      <c r="Q5376" s="366"/>
    </row>
    <row r="5377" spans="16:17" x14ac:dyDescent="0.25">
      <c r="P5377" s="220"/>
      <c r="Q5377" s="366"/>
    </row>
    <row r="5378" spans="16:17" x14ac:dyDescent="0.25">
      <c r="P5378" s="220"/>
      <c r="Q5378" s="366"/>
    </row>
    <row r="5379" spans="16:17" x14ac:dyDescent="0.25">
      <c r="P5379" s="220"/>
      <c r="Q5379" s="366"/>
    </row>
    <row r="5380" spans="16:17" x14ac:dyDescent="0.25">
      <c r="P5380" s="220"/>
      <c r="Q5380" s="366"/>
    </row>
    <row r="5381" spans="16:17" x14ac:dyDescent="0.25">
      <c r="P5381" s="220"/>
      <c r="Q5381" s="366"/>
    </row>
    <row r="5382" spans="16:17" x14ac:dyDescent="0.25">
      <c r="P5382" s="220"/>
      <c r="Q5382" s="366"/>
    </row>
    <row r="5383" spans="16:17" x14ac:dyDescent="0.25">
      <c r="P5383" s="220"/>
      <c r="Q5383" s="366"/>
    </row>
    <row r="5384" spans="16:17" x14ac:dyDescent="0.25">
      <c r="P5384" s="220"/>
      <c r="Q5384" s="366"/>
    </row>
    <row r="5385" spans="16:17" x14ac:dyDescent="0.25">
      <c r="P5385" s="220"/>
      <c r="Q5385" s="366"/>
    </row>
    <row r="5386" spans="16:17" x14ac:dyDescent="0.25">
      <c r="P5386" s="220"/>
      <c r="Q5386" s="366"/>
    </row>
    <row r="5387" spans="16:17" x14ac:dyDescent="0.25">
      <c r="P5387" s="220"/>
      <c r="Q5387" s="366"/>
    </row>
    <row r="5388" spans="16:17" x14ac:dyDescent="0.25">
      <c r="P5388" s="220"/>
      <c r="Q5388" s="366"/>
    </row>
    <row r="5389" spans="16:17" x14ac:dyDescent="0.25">
      <c r="P5389" s="220"/>
      <c r="Q5389" s="366"/>
    </row>
    <row r="5390" spans="16:17" x14ac:dyDescent="0.25">
      <c r="P5390" s="220"/>
      <c r="Q5390" s="366"/>
    </row>
    <row r="5391" spans="16:17" x14ac:dyDescent="0.25">
      <c r="P5391" s="220"/>
      <c r="Q5391" s="366"/>
    </row>
    <row r="5392" spans="16:17" x14ac:dyDescent="0.25">
      <c r="P5392" s="220"/>
      <c r="Q5392" s="366"/>
    </row>
    <row r="5393" spans="16:17" x14ac:dyDescent="0.25">
      <c r="P5393" s="220"/>
      <c r="Q5393" s="366"/>
    </row>
    <row r="5394" spans="16:17" x14ac:dyDescent="0.25">
      <c r="P5394" s="220"/>
      <c r="Q5394" s="366"/>
    </row>
    <row r="5395" spans="16:17" x14ac:dyDescent="0.25">
      <c r="P5395" s="220"/>
      <c r="Q5395" s="366"/>
    </row>
    <row r="5396" spans="16:17" x14ac:dyDescent="0.25">
      <c r="P5396" s="220"/>
      <c r="Q5396" s="366"/>
    </row>
    <row r="5397" spans="16:17" x14ac:dyDescent="0.25">
      <c r="P5397" s="220"/>
      <c r="Q5397" s="366"/>
    </row>
    <row r="5398" spans="16:17" x14ac:dyDescent="0.25">
      <c r="P5398" s="220"/>
      <c r="Q5398" s="366"/>
    </row>
    <row r="5399" spans="16:17" x14ac:dyDescent="0.25">
      <c r="P5399" s="220"/>
      <c r="Q5399" s="366"/>
    </row>
    <row r="5400" spans="16:17" x14ac:dyDescent="0.25">
      <c r="P5400" s="220"/>
      <c r="Q5400" s="366"/>
    </row>
    <row r="5401" spans="16:17" x14ac:dyDescent="0.25">
      <c r="P5401" s="220"/>
      <c r="Q5401" s="366"/>
    </row>
    <row r="5402" spans="16:17" x14ac:dyDescent="0.25">
      <c r="P5402" s="220"/>
      <c r="Q5402" s="366"/>
    </row>
    <row r="5403" spans="16:17" x14ac:dyDescent="0.25">
      <c r="P5403" s="220"/>
      <c r="Q5403" s="366"/>
    </row>
    <row r="5404" spans="16:17" x14ac:dyDescent="0.25">
      <c r="P5404" s="220"/>
      <c r="Q5404" s="366"/>
    </row>
    <row r="5405" spans="16:17" x14ac:dyDescent="0.25">
      <c r="P5405" s="220"/>
      <c r="Q5405" s="366"/>
    </row>
    <row r="5406" spans="16:17" x14ac:dyDescent="0.25">
      <c r="P5406" s="220"/>
      <c r="Q5406" s="366"/>
    </row>
    <row r="5407" spans="16:17" x14ac:dyDescent="0.25">
      <c r="P5407" s="220"/>
      <c r="Q5407" s="366"/>
    </row>
    <row r="5408" spans="16:17" x14ac:dyDescent="0.25">
      <c r="P5408" s="220"/>
      <c r="Q5408" s="366"/>
    </row>
    <row r="5409" spans="16:17" x14ac:dyDescent="0.25">
      <c r="P5409" s="220"/>
      <c r="Q5409" s="366"/>
    </row>
    <row r="5410" spans="16:17" x14ac:dyDescent="0.25">
      <c r="P5410" s="220"/>
      <c r="Q5410" s="366"/>
    </row>
    <row r="5411" spans="16:17" x14ac:dyDescent="0.25">
      <c r="P5411" s="220"/>
      <c r="Q5411" s="366"/>
    </row>
    <row r="5412" spans="16:17" x14ac:dyDescent="0.25">
      <c r="P5412" s="220"/>
      <c r="Q5412" s="366"/>
    </row>
    <row r="5413" spans="16:17" x14ac:dyDescent="0.25">
      <c r="P5413" s="220"/>
      <c r="Q5413" s="366"/>
    </row>
    <row r="5414" spans="16:17" x14ac:dyDescent="0.25">
      <c r="P5414" s="220"/>
      <c r="Q5414" s="366"/>
    </row>
    <row r="5415" spans="16:17" x14ac:dyDescent="0.25">
      <c r="P5415" s="220"/>
      <c r="Q5415" s="366"/>
    </row>
    <row r="5416" spans="16:17" x14ac:dyDescent="0.25">
      <c r="P5416" s="220"/>
      <c r="Q5416" s="366"/>
    </row>
    <row r="5417" spans="16:17" x14ac:dyDescent="0.25">
      <c r="P5417" s="220"/>
      <c r="Q5417" s="366"/>
    </row>
    <row r="5418" spans="16:17" x14ac:dyDescent="0.25">
      <c r="P5418" s="220"/>
      <c r="Q5418" s="366"/>
    </row>
    <row r="5419" spans="16:17" x14ac:dyDescent="0.25">
      <c r="P5419" s="220"/>
      <c r="Q5419" s="366"/>
    </row>
    <row r="5420" spans="16:17" x14ac:dyDescent="0.25">
      <c r="P5420" s="220"/>
      <c r="Q5420" s="366"/>
    </row>
    <row r="5421" spans="16:17" x14ac:dyDescent="0.25">
      <c r="P5421" s="220"/>
      <c r="Q5421" s="366"/>
    </row>
    <row r="5422" spans="16:17" x14ac:dyDescent="0.25">
      <c r="P5422" s="220"/>
      <c r="Q5422" s="366"/>
    </row>
    <row r="5423" spans="16:17" x14ac:dyDescent="0.25">
      <c r="P5423" s="220"/>
      <c r="Q5423" s="366"/>
    </row>
    <row r="5424" spans="16:17" x14ac:dyDescent="0.25">
      <c r="P5424" s="220"/>
      <c r="Q5424" s="366"/>
    </row>
    <row r="5425" spans="16:17" x14ac:dyDescent="0.25">
      <c r="P5425" s="220"/>
      <c r="Q5425" s="366"/>
    </row>
    <row r="5426" spans="16:17" x14ac:dyDescent="0.25">
      <c r="P5426" s="220"/>
      <c r="Q5426" s="366"/>
    </row>
    <row r="5427" spans="16:17" x14ac:dyDescent="0.25">
      <c r="P5427" s="220"/>
      <c r="Q5427" s="366"/>
    </row>
    <row r="5428" spans="16:17" x14ac:dyDescent="0.25">
      <c r="P5428" s="220"/>
      <c r="Q5428" s="366"/>
    </row>
    <row r="5429" spans="16:17" x14ac:dyDescent="0.25">
      <c r="P5429" s="220"/>
      <c r="Q5429" s="366"/>
    </row>
    <row r="5430" spans="16:17" x14ac:dyDescent="0.25">
      <c r="P5430" s="220"/>
      <c r="Q5430" s="366"/>
    </row>
    <row r="5431" spans="16:17" x14ac:dyDescent="0.25">
      <c r="P5431" s="220"/>
      <c r="Q5431" s="366"/>
    </row>
    <row r="5432" spans="16:17" x14ac:dyDescent="0.25">
      <c r="P5432" s="220"/>
      <c r="Q5432" s="366"/>
    </row>
    <row r="5433" spans="16:17" x14ac:dyDescent="0.25">
      <c r="P5433" s="220"/>
      <c r="Q5433" s="366"/>
    </row>
    <row r="5434" spans="16:17" x14ac:dyDescent="0.25">
      <c r="P5434" s="220"/>
      <c r="Q5434" s="366"/>
    </row>
    <row r="5435" spans="16:17" x14ac:dyDescent="0.25">
      <c r="P5435" s="220"/>
      <c r="Q5435" s="366"/>
    </row>
    <row r="5436" spans="16:17" x14ac:dyDescent="0.25">
      <c r="P5436" s="220"/>
      <c r="Q5436" s="366"/>
    </row>
    <row r="5437" spans="16:17" x14ac:dyDescent="0.25">
      <c r="P5437" s="220"/>
      <c r="Q5437" s="366"/>
    </row>
    <row r="5438" spans="16:17" x14ac:dyDescent="0.25">
      <c r="P5438" s="220"/>
      <c r="Q5438" s="366"/>
    </row>
    <row r="5439" spans="16:17" x14ac:dyDescent="0.25">
      <c r="P5439" s="220"/>
      <c r="Q5439" s="366"/>
    </row>
    <row r="5440" spans="16:17" x14ac:dyDescent="0.25">
      <c r="P5440" s="220"/>
      <c r="Q5440" s="366"/>
    </row>
    <row r="5441" spans="16:17" x14ac:dyDescent="0.25">
      <c r="P5441" s="220"/>
      <c r="Q5441" s="366"/>
    </row>
    <row r="5442" spans="16:17" x14ac:dyDescent="0.25">
      <c r="P5442" s="220"/>
      <c r="Q5442" s="366"/>
    </row>
    <row r="5443" spans="16:17" x14ac:dyDescent="0.25">
      <c r="P5443" s="220"/>
      <c r="Q5443" s="366"/>
    </row>
    <row r="5444" spans="16:17" x14ac:dyDescent="0.25">
      <c r="P5444" s="220"/>
      <c r="Q5444" s="366"/>
    </row>
    <row r="5445" spans="16:17" x14ac:dyDescent="0.25">
      <c r="P5445" s="220"/>
      <c r="Q5445" s="366"/>
    </row>
    <row r="5446" spans="16:17" x14ac:dyDescent="0.25">
      <c r="P5446" s="220"/>
      <c r="Q5446" s="366"/>
    </row>
    <row r="5447" spans="16:17" x14ac:dyDescent="0.25">
      <c r="P5447" s="220"/>
      <c r="Q5447" s="366"/>
    </row>
    <row r="5448" spans="16:17" x14ac:dyDescent="0.25">
      <c r="P5448" s="220"/>
      <c r="Q5448" s="366"/>
    </row>
    <row r="5449" spans="16:17" x14ac:dyDescent="0.25">
      <c r="P5449" s="220"/>
      <c r="Q5449" s="366"/>
    </row>
    <row r="5450" spans="16:17" x14ac:dyDescent="0.25">
      <c r="P5450" s="220"/>
      <c r="Q5450" s="366"/>
    </row>
    <row r="5451" spans="16:17" x14ac:dyDescent="0.25">
      <c r="P5451" s="220"/>
      <c r="Q5451" s="366"/>
    </row>
    <row r="5452" spans="16:17" x14ac:dyDescent="0.25">
      <c r="P5452" s="220"/>
      <c r="Q5452" s="366"/>
    </row>
    <row r="5453" spans="16:17" x14ac:dyDescent="0.25">
      <c r="P5453" s="220"/>
      <c r="Q5453" s="366"/>
    </row>
    <row r="5454" spans="16:17" x14ac:dyDescent="0.25">
      <c r="P5454" s="220"/>
      <c r="Q5454" s="366"/>
    </row>
    <row r="5455" spans="16:17" x14ac:dyDescent="0.25">
      <c r="P5455" s="220"/>
      <c r="Q5455" s="366"/>
    </row>
    <row r="5456" spans="16:17" x14ac:dyDescent="0.25">
      <c r="P5456" s="220"/>
      <c r="Q5456" s="366"/>
    </row>
    <row r="5457" spans="16:17" x14ac:dyDescent="0.25">
      <c r="P5457" s="220"/>
      <c r="Q5457" s="366"/>
    </row>
    <row r="5458" spans="16:17" x14ac:dyDescent="0.25">
      <c r="P5458" s="220"/>
      <c r="Q5458" s="366"/>
    </row>
    <row r="5459" spans="16:17" x14ac:dyDescent="0.25">
      <c r="P5459" s="220"/>
      <c r="Q5459" s="366"/>
    </row>
    <row r="5460" spans="16:17" x14ac:dyDescent="0.25">
      <c r="P5460" s="220"/>
      <c r="Q5460" s="366"/>
    </row>
    <row r="5461" spans="16:17" x14ac:dyDescent="0.25">
      <c r="P5461" s="220"/>
      <c r="Q5461" s="366"/>
    </row>
    <row r="5462" spans="16:17" x14ac:dyDescent="0.25">
      <c r="P5462" s="220"/>
      <c r="Q5462" s="366"/>
    </row>
    <row r="5463" spans="16:17" x14ac:dyDescent="0.25">
      <c r="P5463" s="220"/>
      <c r="Q5463" s="366"/>
    </row>
    <row r="5464" spans="16:17" x14ac:dyDescent="0.25">
      <c r="P5464" s="220"/>
      <c r="Q5464" s="366"/>
    </row>
    <row r="5465" spans="16:17" x14ac:dyDescent="0.25">
      <c r="P5465" s="220"/>
      <c r="Q5465" s="366"/>
    </row>
    <row r="5466" spans="16:17" x14ac:dyDescent="0.25">
      <c r="P5466" s="220"/>
      <c r="Q5466" s="366"/>
    </row>
    <row r="5467" spans="16:17" x14ac:dyDescent="0.25">
      <c r="P5467" s="220"/>
      <c r="Q5467" s="366"/>
    </row>
    <row r="5468" spans="16:17" x14ac:dyDescent="0.25">
      <c r="P5468" s="220"/>
      <c r="Q5468" s="366"/>
    </row>
    <row r="5469" spans="16:17" x14ac:dyDescent="0.25">
      <c r="P5469" s="220"/>
      <c r="Q5469" s="366"/>
    </row>
    <row r="5470" spans="16:17" x14ac:dyDescent="0.25">
      <c r="P5470" s="220"/>
      <c r="Q5470" s="366"/>
    </row>
    <row r="5471" spans="16:17" x14ac:dyDescent="0.25">
      <c r="P5471" s="220"/>
      <c r="Q5471" s="366"/>
    </row>
    <row r="5472" spans="16:17" x14ac:dyDescent="0.25">
      <c r="P5472" s="220"/>
      <c r="Q5472" s="366"/>
    </row>
    <row r="5473" spans="16:17" x14ac:dyDescent="0.25">
      <c r="P5473" s="220"/>
      <c r="Q5473" s="366"/>
    </row>
    <row r="5474" spans="16:17" x14ac:dyDescent="0.25">
      <c r="P5474" s="220"/>
      <c r="Q5474" s="366"/>
    </row>
    <row r="5475" spans="16:17" x14ac:dyDescent="0.25">
      <c r="P5475" s="220"/>
      <c r="Q5475" s="366"/>
    </row>
    <row r="5476" spans="16:17" x14ac:dyDescent="0.25">
      <c r="P5476" s="220"/>
      <c r="Q5476" s="366"/>
    </row>
    <row r="5477" spans="16:17" x14ac:dyDescent="0.25">
      <c r="P5477" s="220"/>
      <c r="Q5477" s="366"/>
    </row>
    <row r="5478" spans="16:17" x14ac:dyDescent="0.25">
      <c r="P5478" s="220"/>
      <c r="Q5478" s="366"/>
    </row>
    <row r="5479" spans="16:17" x14ac:dyDescent="0.25">
      <c r="P5479" s="220"/>
      <c r="Q5479" s="366"/>
    </row>
    <row r="5480" spans="16:17" x14ac:dyDescent="0.25">
      <c r="P5480" s="220"/>
      <c r="Q5480" s="366"/>
    </row>
    <row r="5481" spans="16:17" x14ac:dyDescent="0.25">
      <c r="P5481" s="220"/>
      <c r="Q5481" s="366"/>
    </row>
    <row r="5482" spans="16:17" x14ac:dyDescent="0.25">
      <c r="P5482" s="220"/>
      <c r="Q5482" s="366"/>
    </row>
    <row r="5483" spans="16:17" x14ac:dyDescent="0.25">
      <c r="P5483" s="220"/>
      <c r="Q5483" s="366"/>
    </row>
    <row r="5484" spans="16:17" x14ac:dyDescent="0.25">
      <c r="P5484" s="220"/>
      <c r="Q5484" s="366"/>
    </row>
    <row r="5485" spans="16:17" x14ac:dyDescent="0.25">
      <c r="P5485" s="220"/>
      <c r="Q5485" s="366"/>
    </row>
    <row r="5486" spans="16:17" x14ac:dyDescent="0.25">
      <c r="P5486" s="220"/>
      <c r="Q5486" s="366"/>
    </row>
    <row r="5487" spans="16:17" x14ac:dyDescent="0.25">
      <c r="P5487" s="220"/>
      <c r="Q5487" s="366"/>
    </row>
    <row r="5488" spans="16:17" x14ac:dyDescent="0.25">
      <c r="P5488" s="220"/>
      <c r="Q5488" s="366"/>
    </row>
    <row r="5489" spans="16:17" x14ac:dyDescent="0.25">
      <c r="P5489" s="220"/>
      <c r="Q5489" s="366"/>
    </row>
    <row r="5490" spans="16:17" x14ac:dyDescent="0.25">
      <c r="P5490" s="220"/>
      <c r="Q5490" s="366"/>
    </row>
    <row r="5491" spans="16:17" x14ac:dyDescent="0.25">
      <c r="P5491" s="220"/>
      <c r="Q5491" s="366"/>
    </row>
    <row r="5492" spans="16:17" x14ac:dyDescent="0.25">
      <c r="P5492" s="220"/>
      <c r="Q5492" s="366"/>
    </row>
    <row r="5493" spans="16:17" x14ac:dyDescent="0.25">
      <c r="P5493" s="220"/>
      <c r="Q5493" s="366"/>
    </row>
    <row r="5494" spans="16:17" x14ac:dyDescent="0.25">
      <c r="P5494" s="220"/>
      <c r="Q5494" s="366"/>
    </row>
    <row r="5495" spans="16:17" x14ac:dyDescent="0.25">
      <c r="P5495" s="220"/>
      <c r="Q5495" s="366"/>
    </row>
    <row r="5496" spans="16:17" x14ac:dyDescent="0.25">
      <c r="P5496" s="220"/>
      <c r="Q5496" s="366"/>
    </row>
    <row r="5497" spans="16:17" x14ac:dyDescent="0.25">
      <c r="P5497" s="220"/>
      <c r="Q5497" s="366"/>
    </row>
    <row r="5498" spans="16:17" x14ac:dyDescent="0.25">
      <c r="P5498" s="220"/>
      <c r="Q5498" s="366"/>
    </row>
    <row r="5499" spans="16:17" x14ac:dyDescent="0.25">
      <c r="P5499" s="220"/>
      <c r="Q5499" s="366"/>
    </row>
    <row r="5500" spans="16:17" x14ac:dyDescent="0.25">
      <c r="P5500" s="220"/>
      <c r="Q5500" s="366"/>
    </row>
    <row r="5501" spans="16:17" x14ac:dyDescent="0.25">
      <c r="P5501" s="220"/>
      <c r="Q5501" s="366"/>
    </row>
    <row r="5502" spans="16:17" x14ac:dyDescent="0.25">
      <c r="P5502" s="220"/>
      <c r="Q5502" s="366"/>
    </row>
    <row r="5503" spans="16:17" x14ac:dyDescent="0.25">
      <c r="P5503" s="220"/>
      <c r="Q5503" s="366"/>
    </row>
    <row r="5504" spans="16:17" x14ac:dyDescent="0.25">
      <c r="P5504" s="220"/>
      <c r="Q5504" s="366"/>
    </row>
    <row r="5505" spans="16:17" x14ac:dyDescent="0.25">
      <c r="P5505" s="220"/>
      <c r="Q5505" s="366"/>
    </row>
    <row r="5506" spans="16:17" x14ac:dyDescent="0.25">
      <c r="P5506" s="220"/>
      <c r="Q5506" s="366"/>
    </row>
    <row r="5507" spans="16:17" x14ac:dyDescent="0.25">
      <c r="P5507" s="220"/>
      <c r="Q5507" s="366"/>
    </row>
    <row r="5508" spans="16:17" x14ac:dyDescent="0.25">
      <c r="P5508" s="220"/>
      <c r="Q5508" s="366"/>
    </row>
    <row r="5509" spans="16:17" x14ac:dyDescent="0.25">
      <c r="P5509" s="220"/>
      <c r="Q5509" s="366"/>
    </row>
    <row r="5510" spans="16:17" x14ac:dyDescent="0.25">
      <c r="P5510" s="220"/>
      <c r="Q5510" s="366"/>
    </row>
    <row r="5511" spans="16:17" x14ac:dyDescent="0.25">
      <c r="P5511" s="220"/>
      <c r="Q5511" s="366"/>
    </row>
    <row r="5512" spans="16:17" x14ac:dyDescent="0.25">
      <c r="P5512" s="220"/>
      <c r="Q5512" s="366"/>
    </row>
    <row r="5513" spans="16:17" x14ac:dyDescent="0.25">
      <c r="P5513" s="220"/>
      <c r="Q5513" s="366"/>
    </row>
    <row r="5514" spans="16:17" x14ac:dyDescent="0.25">
      <c r="P5514" s="220"/>
      <c r="Q5514" s="366"/>
    </row>
    <row r="5515" spans="16:17" x14ac:dyDescent="0.25">
      <c r="P5515" s="220"/>
      <c r="Q5515" s="366"/>
    </row>
    <row r="5516" spans="16:17" x14ac:dyDescent="0.25">
      <c r="P5516" s="220"/>
      <c r="Q5516" s="366"/>
    </row>
    <row r="5517" spans="16:17" x14ac:dyDescent="0.25">
      <c r="P5517" s="220"/>
      <c r="Q5517" s="366"/>
    </row>
    <row r="5518" spans="16:17" x14ac:dyDescent="0.25">
      <c r="P5518" s="220"/>
      <c r="Q5518" s="366"/>
    </row>
    <row r="5519" spans="16:17" x14ac:dyDescent="0.25">
      <c r="P5519" s="220"/>
      <c r="Q5519" s="366"/>
    </row>
    <row r="5520" spans="16:17" x14ac:dyDescent="0.25">
      <c r="P5520" s="220"/>
      <c r="Q5520" s="366"/>
    </row>
    <row r="5521" spans="16:17" x14ac:dyDescent="0.25">
      <c r="P5521" s="220"/>
      <c r="Q5521" s="366"/>
    </row>
    <row r="5522" spans="16:17" x14ac:dyDescent="0.25">
      <c r="P5522" s="220"/>
      <c r="Q5522" s="366"/>
    </row>
    <row r="5523" spans="16:17" x14ac:dyDescent="0.25">
      <c r="P5523" s="220"/>
      <c r="Q5523" s="366"/>
    </row>
    <row r="5524" spans="16:17" x14ac:dyDescent="0.25">
      <c r="P5524" s="220"/>
      <c r="Q5524" s="366"/>
    </row>
    <row r="5525" spans="16:17" x14ac:dyDescent="0.25">
      <c r="P5525" s="220"/>
      <c r="Q5525" s="366"/>
    </row>
    <row r="5526" spans="16:17" x14ac:dyDescent="0.25">
      <c r="P5526" s="220"/>
      <c r="Q5526" s="366"/>
    </row>
    <row r="5527" spans="16:17" x14ac:dyDescent="0.25">
      <c r="P5527" s="220"/>
      <c r="Q5527" s="366"/>
    </row>
    <row r="5528" spans="16:17" x14ac:dyDescent="0.25">
      <c r="P5528" s="220"/>
      <c r="Q5528" s="366"/>
    </row>
    <row r="5529" spans="16:17" x14ac:dyDescent="0.25">
      <c r="P5529" s="220"/>
      <c r="Q5529" s="366"/>
    </row>
    <row r="5530" spans="16:17" x14ac:dyDescent="0.25">
      <c r="P5530" s="220"/>
      <c r="Q5530" s="366"/>
    </row>
    <row r="5531" spans="16:17" x14ac:dyDescent="0.25">
      <c r="P5531" s="220"/>
      <c r="Q5531" s="366"/>
    </row>
    <row r="5532" spans="16:17" x14ac:dyDescent="0.25">
      <c r="P5532" s="220"/>
      <c r="Q5532" s="366"/>
    </row>
    <row r="5533" spans="16:17" x14ac:dyDescent="0.25">
      <c r="P5533" s="220"/>
      <c r="Q5533" s="366"/>
    </row>
    <row r="5534" spans="16:17" x14ac:dyDescent="0.25">
      <c r="P5534" s="220"/>
      <c r="Q5534" s="366"/>
    </row>
    <row r="5535" spans="16:17" x14ac:dyDescent="0.25">
      <c r="P5535" s="220"/>
      <c r="Q5535" s="366"/>
    </row>
    <row r="5536" spans="16:17" x14ac:dyDescent="0.25">
      <c r="P5536" s="220"/>
      <c r="Q5536" s="366"/>
    </row>
    <row r="5537" spans="16:17" x14ac:dyDescent="0.25">
      <c r="P5537" s="220"/>
      <c r="Q5537" s="366"/>
    </row>
    <row r="5538" spans="16:17" x14ac:dyDescent="0.25">
      <c r="P5538" s="220"/>
      <c r="Q5538" s="366"/>
    </row>
    <row r="5539" spans="16:17" x14ac:dyDescent="0.25">
      <c r="P5539" s="220"/>
      <c r="Q5539" s="366"/>
    </row>
    <row r="5540" spans="16:17" x14ac:dyDescent="0.25">
      <c r="P5540" s="220"/>
      <c r="Q5540" s="366"/>
    </row>
    <row r="5541" spans="16:17" x14ac:dyDescent="0.25">
      <c r="P5541" s="220"/>
      <c r="Q5541" s="366"/>
    </row>
    <row r="5542" spans="16:17" x14ac:dyDescent="0.25">
      <c r="P5542" s="220"/>
      <c r="Q5542" s="366"/>
    </row>
    <row r="5543" spans="16:17" x14ac:dyDescent="0.25">
      <c r="P5543" s="220"/>
      <c r="Q5543" s="366"/>
    </row>
    <row r="5544" spans="16:17" x14ac:dyDescent="0.25">
      <c r="P5544" s="220"/>
      <c r="Q5544" s="366"/>
    </row>
    <row r="5545" spans="16:17" x14ac:dyDescent="0.25">
      <c r="P5545" s="220"/>
      <c r="Q5545" s="366"/>
    </row>
    <row r="5546" spans="16:17" x14ac:dyDescent="0.25">
      <c r="P5546" s="220"/>
      <c r="Q5546" s="366"/>
    </row>
    <row r="5547" spans="16:17" x14ac:dyDescent="0.25">
      <c r="P5547" s="220"/>
      <c r="Q5547" s="366"/>
    </row>
    <row r="5548" spans="16:17" x14ac:dyDescent="0.25">
      <c r="P5548" s="220"/>
      <c r="Q5548" s="366"/>
    </row>
    <row r="5549" spans="16:17" x14ac:dyDescent="0.25">
      <c r="P5549" s="220"/>
      <c r="Q5549" s="366"/>
    </row>
    <row r="5550" spans="16:17" x14ac:dyDescent="0.25">
      <c r="P5550" s="220"/>
      <c r="Q5550" s="366"/>
    </row>
    <row r="5551" spans="16:17" x14ac:dyDescent="0.25">
      <c r="P5551" s="220"/>
      <c r="Q5551" s="366"/>
    </row>
    <row r="5552" spans="16:17" x14ac:dyDescent="0.25">
      <c r="P5552" s="220"/>
      <c r="Q5552" s="366"/>
    </row>
    <row r="5553" spans="16:17" x14ac:dyDescent="0.25">
      <c r="P5553" s="220"/>
      <c r="Q5553" s="366"/>
    </row>
    <row r="5554" spans="16:17" x14ac:dyDescent="0.25">
      <c r="P5554" s="220"/>
      <c r="Q5554" s="366"/>
    </row>
    <row r="5555" spans="16:17" x14ac:dyDescent="0.25">
      <c r="P5555" s="220"/>
      <c r="Q5555" s="366"/>
    </row>
    <row r="5556" spans="16:17" x14ac:dyDescent="0.25">
      <c r="P5556" s="220"/>
      <c r="Q5556" s="366"/>
    </row>
    <row r="5557" spans="16:17" x14ac:dyDescent="0.25">
      <c r="P5557" s="220"/>
      <c r="Q5557" s="366"/>
    </row>
    <row r="5558" spans="16:17" x14ac:dyDescent="0.25">
      <c r="P5558" s="220"/>
      <c r="Q5558" s="366"/>
    </row>
    <row r="5559" spans="16:17" x14ac:dyDescent="0.25">
      <c r="P5559" s="220"/>
      <c r="Q5559" s="366"/>
    </row>
    <row r="5560" spans="16:17" x14ac:dyDescent="0.25">
      <c r="P5560" s="220"/>
      <c r="Q5560" s="366"/>
    </row>
    <row r="5561" spans="16:17" x14ac:dyDescent="0.25">
      <c r="P5561" s="220"/>
      <c r="Q5561" s="366"/>
    </row>
    <row r="5562" spans="16:17" x14ac:dyDescent="0.25">
      <c r="P5562" s="220"/>
      <c r="Q5562" s="366"/>
    </row>
    <row r="5563" spans="16:17" x14ac:dyDescent="0.25">
      <c r="P5563" s="220"/>
      <c r="Q5563" s="366"/>
    </row>
    <row r="5564" spans="16:17" x14ac:dyDescent="0.25">
      <c r="P5564" s="220"/>
      <c r="Q5564" s="366"/>
    </row>
    <row r="5565" spans="16:17" x14ac:dyDescent="0.25">
      <c r="P5565" s="220"/>
      <c r="Q5565" s="366"/>
    </row>
    <row r="5566" spans="16:17" x14ac:dyDescent="0.25">
      <c r="P5566" s="220"/>
      <c r="Q5566" s="366"/>
    </row>
    <row r="5567" spans="16:17" x14ac:dyDescent="0.25">
      <c r="P5567" s="220"/>
      <c r="Q5567" s="366"/>
    </row>
    <row r="5568" spans="16:17" x14ac:dyDescent="0.25">
      <c r="P5568" s="220"/>
      <c r="Q5568" s="366"/>
    </row>
    <row r="5569" spans="16:17" x14ac:dyDescent="0.25">
      <c r="P5569" s="220"/>
      <c r="Q5569" s="366"/>
    </row>
    <row r="5570" spans="16:17" x14ac:dyDescent="0.25">
      <c r="P5570" s="220"/>
      <c r="Q5570" s="366"/>
    </row>
    <row r="5571" spans="16:17" x14ac:dyDescent="0.25">
      <c r="P5571" s="220"/>
      <c r="Q5571" s="366"/>
    </row>
    <row r="5572" spans="16:17" x14ac:dyDescent="0.25">
      <c r="P5572" s="220"/>
      <c r="Q5572" s="366"/>
    </row>
    <row r="5573" spans="16:17" x14ac:dyDescent="0.25">
      <c r="P5573" s="220"/>
      <c r="Q5573" s="366"/>
    </row>
    <row r="5574" spans="16:17" x14ac:dyDescent="0.25">
      <c r="P5574" s="220"/>
      <c r="Q5574" s="366"/>
    </row>
    <row r="5575" spans="16:17" x14ac:dyDescent="0.25">
      <c r="P5575" s="220"/>
      <c r="Q5575" s="366"/>
    </row>
    <row r="5576" spans="16:17" x14ac:dyDescent="0.25">
      <c r="P5576" s="220"/>
      <c r="Q5576" s="366"/>
    </row>
    <row r="5577" spans="16:17" x14ac:dyDescent="0.25">
      <c r="P5577" s="220"/>
      <c r="Q5577" s="366"/>
    </row>
    <row r="5578" spans="16:17" x14ac:dyDescent="0.25">
      <c r="P5578" s="220"/>
      <c r="Q5578" s="366"/>
    </row>
    <row r="5579" spans="16:17" x14ac:dyDescent="0.25">
      <c r="P5579" s="220"/>
      <c r="Q5579" s="366"/>
    </row>
    <row r="5580" spans="16:17" x14ac:dyDescent="0.25">
      <c r="P5580" s="220"/>
      <c r="Q5580" s="366"/>
    </row>
    <row r="5581" spans="16:17" x14ac:dyDescent="0.25">
      <c r="P5581" s="220"/>
      <c r="Q5581" s="366"/>
    </row>
    <row r="5582" spans="16:17" x14ac:dyDescent="0.25">
      <c r="P5582" s="220"/>
      <c r="Q5582" s="366"/>
    </row>
    <row r="5583" spans="16:17" x14ac:dyDescent="0.25">
      <c r="P5583" s="220"/>
      <c r="Q5583" s="366"/>
    </row>
    <row r="5584" spans="16:17" x14ac:dyDescent="0.25">
      <c r="P5584" s="220"/>
      <c r="Q5584" s="366"/>
    </row>
    <row r="5585" spans="16:17" x14ac:dyDescent="0.25">
      <c r="P5585" s="220"/>
      <c r="Q5585" s="366"/>
    </row>
    <row r="5586" spans="16:17" x14ac:dyDescent="0.25">
      <c r="P5586" s="220"/>
      <c r="Q5586" s="366"/>
    </row>
    <row r="5587" spans="16:17" x14ac:dyDescent="0.25">
      <c r="P5587" s="220"/>
      <c r="Q5587" s="366"/>
    </row>
    <row r="5588" spans="16:17" x14ac:dyDescent="0.25">
      <c r="P5588" s="220"/>
      <c r="Q5588" s="366"/>
    </row>
    <row r="5589" spans="16:17" x14ac:dyDescent="0.25">
      <c r="P5589" s="220"/>
      <c r="Q5589" s="366"/>
    </row>
    <row r="5590" spans="16:17" x14ac:dyDescent="0.25">
      <c r="P5590" s="220"/>
      <c r="Q5590" s="366"/>
    </row>
    <row r="5591" spans="16:17" x14ac:dyDescent="0.25">
      <c r="P5591" s="220"/>
      <c r="Q5591" s="366"/>
    </row>
    <row r="5592" spans="16:17" x14ac:dyDescent="0.25">
      <c r="P5592" s="220"/>
      <c r="Q5592" s="366"/>
    </row>
    <row r="5593" spans="16:17" x14ac:dyDescent="0.25">
      <c r="P5593" s="220"/>
      <c r="Q5593" s="366"/>
    </row>
    <row r="5594" spans="16:17" x14ac:dyDescent="0.25">
      <c r="P5594" s="220"/>
      <c r="Q5594" s="366"/>
    </row>
    <row r="5595" spans="16:17" x14ac:dyDescent="0.25">
      <c r="P5595" s="220"/>
      <c r="Q5595" s="366"/>
    </row>
    <row r="5596" spans="16:17" x14ac:dyDescent="0.25">
      <c r="P5596" s="220"/>
      <c r="Q5596" s="366"/>
    </row>
    <row r="5597" spans="16:17" x14ac:dyDescent="0.25">
      <c r="P5597" s="220"/>
      <c r="Q5597" s="366"/>
    </row>
    <row r="5598" spans="16:17" x14ac:dyDescent="0.25">
      <c r="P5598" s="220"/>
      <c r="Q5598" s="366"/>
    </row>
    <row r="5599" spans="16:17" x14ac:dyDescent="0.25">
      <c r="P5599" s="220"/>
      <c r="Q5599" s="366"/>
    </row>
    <row r="5600" spans="16:17" x14ac:dyDescent="0.25">
      <c r="P5600" s="220"/>
      <c r="Q5600" s="366"/>
    </row>
    <row r="5601" spans="16:17" x14ac:dyDescent="0.25">
      <c r="P5601" s="220"/>
      <c r="Q5601" s="366"/>
    </row>
    <row r="5602" spans="16:17" x14ac:dyDescent="0.25">
      <c r="P5602" s="220"/>
      <c r="Q5602" s="366"/>
    </row>
    <row r="5603" spans="16:17" x14ac:dyDescent="0.25">
      <c r="P5603" s="220"/>
      <c r="Q5603" s="366"/>
    </row>
    <row r="5604" spans="16:17" x14ac:dyDescent="0.25">
      <c r="P5604" s="220"/>
      <c r="Q5604" s="366"/>
    </row>
    <row r="5605" spans="16:17" x14ac:dyDescent="0.25">
      <c r="P5605" s="220"/>
      <c r="Q5605" s="366"/>
    </row>
    <row r="5606" spans="16:17" x14ac:dyDescent="0.25">
      <c r="P5606" s="220"/>
      <c r="Q5606" s="366"/>
    </row>
    <row r="5607" spans="16:17" x14ac:dyDescent="0.25">
      <c r="P5607" s="220"/>
      <c r="Q5607" s="366"/>
    </row>
    <row r="5608" spans="16:17" x14ac:dyDescent="0.25">
      <c r="P5608" s="220"/>
      <c r="Q5608" s="366"/>
    </row>
    <row r="5609" spans="16:17" x14ac:dyDescent="0.25">
      <c r="P5609" s="220"/>
      <c r="Q5609" s="366"/>
    </row>
    <row r="5610" spans="16:17" x14ac:dyDescent="0.25">
      <c r="P5610" s="220"/>
      <c r="Q5610" s="366"/>
    </row>
    <row r="5611" spans="16:17" x14ac:dyDescent="0.25">
      <c r="P5611" s="220"/>
      <c r="Q5611" s="366"/>
    </row>
    <row r="5612" spans="16:17" x14ac:dyDescent="0.25">
      <c r="P5612" s="220"/>
      <c r="Q5612" s="366"/>
    </row>
    <row r="5613" spans="16:17" x14ac:dyDescent="0.25">
      <c r="P5613" s="220"/>
      <c r="Q5613" s="366"/>
    </row>
    <row r="5614" spans="16:17" x14ac:dyDescent="0.25">
      <c r="P5614" s="220"/>
      <c r="Q5614" s="366"/>
    </row>
    <row r="5615" spans="16:17" x14ac:dyDescent="0.25">
      <c r="P5615" s="220"/>
      <c r="Q5615" s="366"/>
    </row>
    <row r="5616" spans="16:17" x14ac:dyDescent="0.25">
      <c r="P5616" s="220"/>
      <c r="Q5616" s="366"/>
    </row>
    <row r="5617" spans="16:17" x14ac:dyDescent="0.25">
      <c r="P5617" s="220"/>
      <c r="Q5617" s="366"/>
    </row>
    <row r="5618" spans="16:17" x14ac:dyDescent="0.25">
      <c r="P5618" s="220"/>
      <c r="Q5618" s="366"/>
    </row>
    <row r="5619" spans="16:17" x14ac:dyDescent="0.25">
      <c r="P5619" s="220"/>
      <c r="Q5619" s="366"/>
    </row>
    <row r="5620" spans="16:17" x14ac:dyDescent="0.25">
      <c r="P5620" s="220"/>
      <c r="Q5620" s="366"/>
    </row>
    <row r="5621" spans="16:17" x14ac:dyDescent="0.25">
      <c r="P5621" s="220"/>
      <c r="Q5621" s="366"/>
    </row>
    <row r="5622" spans="16:17" x14ac:dyDescent="0.25">
      <c r="P5622" s="220"/>
      <c r="Q5622" s="366"/>
    </row>
    <row r="5623" spans="16:17" x14ac:dyDescent="0.25">
      <c r="P5623" s="220"/>
      <c r="Q5623" s="366"/>
    </row>
    <row r="5624" spans="16:17" x14ac:dyDescent="0.25">
      <c r="P5624" s="220"/>
      <c r="Q5624" s="366"/>
    </row>
    <row r="5625" spans="16:17" x14ac:dyDescent="0.25">
      <c r="P5625" s="220"/>
      <c r="Q5625" s="366"/>
    </row>
    <row r="5626" spans="16:17" x14ac:dyDescent="0.25">
      <c r="P5626" s="220"/>
      <c r="Q5626" s="366"/>
    </row>
    <row r="5627" spans="16:17" x14ac:dyDescent="0.25">
      <c r="P5627" s="220"/>
      <c r="Q5627" s="366"/>
    </row>
    <row r="5628" spans="16:17" x14ac:dyDescent="0.25">
      <c r="P5628" s="220"/>
      <c r="Q5628" s="366"/>
    </row>
    <row r="5629" spans="16:17" x14ac:dyDescent="0.25">
      <c r="P5629" s="220"/>
      <c r="Q5629" s="366"/>
    </row>
    <row r="5630" spans="16:17" x14ac:dyDescent="0.25">
      <c r="P5630" s="220"/>
      <c r="Q5630" s="366"/>
    </row>
    <row r="5631" spans="16:17" x14ac:dyDescent="0.25">
      <c r="P5631" s="220"/>
      <c r="Q5631" s="366"/>
    </row>
    <row r="5632" spans="16:17" x14ac:dyDescent="0.25">
      <c r="P5632" s="220"/>
      <c r="Q5632" s="366"/>
    </row>
    <row r="5633" spans="16:17" x14ac:dyDescent="0.25">
      <c r="P5633" s="220"/>
      <c r="Q5633" s="366"/>
    </row>
    <row r="5634" spans="16:17" x14ac:dyDescent="0.25">
      <c r="P5634" s="220"/>
      <c r="Q5634" s="366"/>
    </row>
    <row r="5635" spans="16:17" x14ac:dyDescent="0.25">
      <c r="P5635" s="220"/>
      <c r="Q5635" s="366"/>
    </row>
    <row r="5636" spans="16:17" x14ac:dyDescent="0.25">
      <c r="P5636" s="220"/>
      <c r="Q5636" s="366"/>
    </row>
    <row r="5637" spans="16:17" x14ac:dyDescent="0.25">
      <c r="P5637" s="220"/>
      <c r="Q5637" s="366"/>
    </row>
    <row r="5638" spans="16:17" x14ac:dyDescent="0.25">
      <c r="P5638" s="220"/>
      <c r="Q5638" s="366"/>
    </row>
    <row r="5639" spans="16:17" x14ac:dyDescent="0.25">
      <c r="P5639" s="220"/>
      <c r="Q5639" s="366"/>
    </row>
    <row r="5640" spans="16:17" x14ac:dyDescent="0.25">
      <c r="P5640" s="220"/>
      <c r="Q5640" s="366"/>
    </row>
    <row r="5641" spans="16:17" x14ac:dyDescent="0.25">
      <c r="P5641" s="220"/>
      <c r="Q5641" s="366"/>
    </row>
    <row r="5642" spans="16:17" x14ac:dyDescent="0.25">
      <c r="P5642" s="220"/>
      <c r="Q5642" s="366"/>
    </row>
    <row r="5643" spans="16:17" x14ac:dyDescent="0.25">
      <c r="P5643" s="220"/>
      <c r="Q5643" s="366"/>
    </row>
    <row r="5644" spans="16:17" x14ac:dyDescent="0.25">
      <c r="P5644" s="220"/>
      <c r="Q5644" s="366"/>
    </row>
    <row r="5645" spans="16:17" x14ac:dyDescent="0.25">
      <c r="P5645" s="220"/>
      <c r="Q5645" s="366"/>
    </row>
    <row r="5646" spans="16:17" x14ac:dyDescent="0.25">
      <c r="P5646" s="220"/>
      <c r="Q5646" s="366"/>
    </row>
    <row r="5647" spans="16:17" x14ac:dyDescent="0.25">
      <c r="P5647" s="220"/>
      <c r="Q5647" s="366"/>
    </row>
    <row r="5648" spans="16:17" x14ac:dyDescent="0.25">
      <c r="P5648" s="220"/>
      <c r="Q5648" s="366"/>
    </row>
    <row r="5649" spans="16:17" x14ac:dyDescent="0.25">
      <c r="P5649" s="220"/>
      <c r="Q5649" s="366"/>
    </row>
    <row r="5650" spans="16:17" x14ac:dyDescent="0.25">
      <c r="P5650" s="220"/>
      <c r="Q5650" s="366"/>
    </row>
    <row r="5651" spans="16:17" x14ac:dyDescent="0.25">
      <c r="P5651" s="220"/>
      <c r="Q5651" s="366"/>
    </row>
    <row r="5652" spans="16:17" x14ac:dyDescent="0.25">
      <c r="P5652" s="220"/>
      <c r="Q5652" s="366"/>
    </row>
    <row r="5653" spans="16:17" x14ac:dyDescent="0.25">
      <c r="P5653" s="220"/>
      <c r="Q5653" s="366"/>
    </row>
    <row r="5654" spans="16:17" x14ac:dyDescent="0.25">
      <c r="P5654" s="220"/>
      <c r="Q5654" s="366"/>
    </row>
    <row r="5655" spans="16:17" x14ac:dyDescent="0.25">
      <c r="P5655" s="220"/>
      <c r="Q5655" s="366"/>
    </row>
    <row r="5656" spans="16:17" x14ac:dyDescent="0.25">
      <c r="P5656" s="220"/>
      <c r="Q5656" s="366"/>
    </row>
    <row r="5657" spans="16:17" x14ac:dyDescent="0.25">
      <c r="P5657" s="220"/>
      <c r="Q5657" s="366"/>
    </row>
    <row r="5658" spans="16:17" x14ac:dyDescent="0.25">
      <c r="P5658" s="220"/>
      <c r="Q5658" s="366"/>
    </row>
    <row r="5659" spans="16:17" x14ac:dyDescent="0.25">
      <c r="P5659" s="220"/>
      <c r="Q5659" s="366"/>
    </row>
    <row r="5660" spans="16:17" x14ac:dyDescent="0.25">
      <c r="P5660" s="220"/>
      <c r="Q5660" s="366"/>
    </row>
    <row r="5661" spans="16:17" x14ac:dyDescent="0.25">
      <c r="P5661" s="220"/>
      <c r="Q5661" s="366"/>
    </row>
    <row r="5662" spans="16:17" x14ac:dyDescent="0.25">
      <c r="P5662" s="220"/>
      <c r="Q5662" s="366"/>
    </row>
    <row r="5663" spans="16:17" x14ac:dyDescent="0.25">
      <c r="P5663" s="220"/>
      <c r="Q5663" s="366"/>
    </row>
    <row r="5664" spans="16:17" x14ac:dyDescent="0.25">
      <c r="P5664" s="220"/>
      <c r="Q5664" s="366"/>
    </row>
    <row r="5665" spans="16:17" x14ac:dyDescent="0.25">
      <c r="P5665" s="220"/>
      <c r="Q5665" s="366"/>
    </row>
    <row r="5666" spans="16:17" x14ac:dyDescent="0.25">
      <c r="P5666" s="220"/>
      <c r="Q5666" s="366"/>
    </row>
    <row r="5667" spans="16:17" x14ac:dyDescent="0.25">
      <c r="P5667" s="220"/>
      <c r="Q5667" s="366"/>
    </row>
    <row r="5668" spans="16:17" x14ac:dyDescent="0.25">
      <c r="P5668" s="220"/>
      <c r="Q5668" s="366"/>
    </row>
    <row r="5669" spans="16:17" x14ac:dyDescent="0.25">
      <c r="P5669" s="220"/>
      <c r="Q5669" s="366"/>
    </row>
    <row r="5670" spans="16:17" x14ac:dyDescent="0.25">
      <c r="P5670" s="220"/>
      <c r="Q5670" s="366"/>
    </row>
    <row r="5671" spans="16:17" x14ac:dyDescent="0.25">
      <c r="P5671" s="220"/>
      <c r="Q5671" s="366"/>
    </row>
    <row r="5672" spans="16:17" x14ac:dyDescent="0.25">
      <c r="P5672" s="220"/>
      <c r="Q5672" s="366"/>
    </row>
    <row r="5673" spans="16:17" x14ac:dyDescent="0.25">
      <c r="P5673" s="220"/>
      <c r="Q5673" s="366"/>
    </row>
    <row r="5674" spans="16:17" x14ac:dyDescent="0.25">
      <c r="P5674" s="220"/>
      <c r="Q5674" s="366"/>
    </row>
    <row r="5675" spans="16:17" x14ac:dyDescent="0.25">
      <c r="P5675" s="220"/>
      <c r="Q5675" s="366"/>
    </row>
    <row r="5676" spans="16:17" x14ac:dyDescent="0.25">
      <c r="P5676" s="220"/>
      <c r="Q5676" s="366"/>
    </row>
    <row r="5677" spans="16:17" x14ac:dyDescent="0.25">
      <c r="P5677" s="220"/>
      <c r="Q5677" s="366"/>
    </row>
    <row r="5678" spans="16:17" x14ac:dyDescent="0.25">
      <c r="P5678" s="220"/>
      <c r="Q5678" s="366"/>
    </row>
    <row r="5679" spans="16:17" x14ac:dyDescent="0.25">
      <c r="P5679" s="220"/>
      <c r="Q5679" s="366"/>
    </row>
    <row r="5680" spans="16:17" x14ac:dyDescent="0.25">
      <c r="P5680" s="220"/>
      <c r="Q5680" s="366"/>
    </row>
    <row r="5681" spans="16:17" x14ac:dyDescent="0.25">
      <c r="P5681" s="220"/>
      <c r="Q5681" s="366"/>
    </row>
    <row r="5682" spans="16:17" x14ac:dyDescent="0.25">
      <c r="P5682" s="220"/>
      <c r="Q5682" s="366"/>
    </row>
    <row r="5683" spans="16:17" x14ac:dyDescent="0.25">
      <c r="P5683" s="220"/>
      <c r="Q5683" s="366"/>
    </row>
    <row r="5684" spans="16:17" x14ac:dyDescent="0.25">
      <c r="P5684" s="220"/>
      <c r="Q5684" s="366"/>
    </row>
    <row r="5685" spans="16:17" x14ac:dyDescent="0.25">
      <c r="P5685" s="220"/>
      <c r="Q5685" s="366"/>
    </row>
    <row r="5686" spans="16:17" x14ac:dyDescent="0.25">
      <c r="P5686" s="220"/>
      <c r="Q5686" s="366"/>
    </row>
    <row r="5687" spans="16:17" x14ac:dyDescent="0.25">
      <c r="P5687" s="220"/>
      <c r="Q5687" s="366"/>
    </row>
    <row r="5688" spans="16:17" x14ac:dyDescent="0.25">
      <c r="P5688" s="220"/>
      <c r="Q5688" s="366"/>
    </row>
    <row r="5689" spans="16:17" x14ac:dyDescent="0.25">
      <c r="P5689" s="220"/>
      <c r="Q5689" s="366"/>
    </row>
    <row r="5690" spans="16:17" x14ac:dyDescent="0.25">
      <c r="P5690" s="220"/>
      <c r="Q5690" s="366"/>
    </row>
    <row r="5691" spans="16:17" x14ac:dyDescent="0.25">
      <c r="P5691" s="220"/>
      <c r="Q5691" s="366"/>
    </row>
    <row r="5692" spans="16:17" x14ac:dyDescent="0.25">
      <c r="P5692" s="220"/>
      <c r="Q5692" s="366"/>
    </row>
    <row r="5693" spans="16:17" x14ac:dyDescent="0.25">
      <c r="P5693" s="220"/>
      <c r="Q5693" s="366"/>
    </row>
    <row r="5694" spans="16:17" x14ac:dyDescent="0.25">
      <c r="P5694" s="220"/>
      <c r="Q5694" s="366"/>
    </row>
    <row r="5695" spans="16:17" x14ac:dyDescent="0.25">
      <c r="P5695" s="220"/>
      <c r="Q5695" s="366"/>
    </row>
    <row r="5696" spans="16:17" x14ac:dyDescent="0.25">
      <c r="P5696" s="220"/>
      <c r="Q5696" s="366"/>
    </row>
    <row r="5697" spans="16:17" x14ac:dyDescent="0.25">
      <c r="P5697" s="220"/>
      <c r="Q5697" s="366"/>
    </row>
    <row r="5698" spans="16:17" x14ac:dyDescent="0.25">
      <c r="P5698" s="220"/>
      <c r="Q5698" s="366"/>
    </row>
    <row r="5699" spans="16:17" x14ac:dyDescent="0.25">
      <c r="P5699" s="220"/>
      <c r="Q5699" s="366"/>
    </row>
    <row r="5700" spans="16:17" x14ac:dyDescent="0.25">
      <c r="P5700" s="220"/>
      <c r="Q5700" s="366"/>
    </row>
    <row r="5701" spans="16:17" x14ac:dyDescent="0.25">
      <c r="P5701" s="220"/>
      <c r="Q5701" s="366"/>
    </row>
    <row r="5702" spans="16:17" x14ac:dyDescent="0.25">
      <c r="P5702" s="220"/>
      <c r="Q5702" s="366"/>
    </row>
    <row r="5703" spans="16:17" x14ac:dyDescent="0.25">
      <c r="P5703" s="220"/>
      <c r="Q5703" s="366"/>
    </row>
    <row r="5704" spans="16:17" x14ac:dyDescent="0.25">
      <c r="P5704" s="220"/>
      <c r="Q5704" s="366"/>
    </row>
    <row r="5705" spans="16:17" x14ac:dyDescent="0.25">
      <c r="P5705" s="220"/>
      <c r="Q5705" s="366"/>
    </row>
    <row r="5706" spans="16:17" x14ac:dyDescent="0.25">
      <c r="P5706" s="220"/>
      <c r="Q5706" s="366"/>
    </row>
    <row r="5707" spans="16:17" x14ac:dyDescent="0.25">
      <c r="P5707" s="220"/>
      <c r="Q5707" s="366"/>
    </row>
    <row r="5708" spans="16:17" x14ac:dyDescent="0.25">
      <c r="P5708" s="220"/>
      <c r="Q5708" s="366"/>
    </row>
    <row r="5709" spans="16:17" x14ac:dyDescent="0.25">
      <c r="P5709" s="220"/>
      <c r="Q5709" s="366"/>
    </row>
    <row r="5710" spans="16:17" x14ac:dyDescent="0.25">
      <c r="P5710" s="220"/>
      <c r="Q5710" s="366"/>
    </row>
    <row r="5711" spans="16:17" x14ac:dyDescent="0.25">
      <c r="P5711" s="220"/>
      <c r="Q5711" s="366"/>
    </row>
    <row r="5712" spans="16:17" x14ac:dyDescent="0.25">
      <c r="P5712" s="220"/>
      <c r="Q5712" s="366"/>
    </row>
    <row r="5713" spans="16:17" x14ac:dyDescent="0.25">
      <c r="P5713" s="220"/>
      <c r="Q5713" s="366"/>
    </row>
    <row r="5714" spans="16:17" x14ac:dyDescent="0.25">
      <c r="P5714" s="220"/>
      <c r="Q5714" s="366"/>
    </row>
    <row r="5715" spans="16:17" x14ac:dyDescent="0.25">
      <c r="P5715" s="220"/>
      <c r="Q5715" s="366"/>
    </row>
    <row r="5716" spans="16:17" x14ac:dyDescent="0.25">
      <c r="P5716" s="220"/>
      <c r="Q5716" s="366"/>
    </row>
    <row r="5717" spans="16:17" x14ac:dyDescent="0.25">
      <c r="P5717" s="220"/>
      <c r="Q5717" s="366"/>
    </row>
    <row r="5718" spans="16:17" x14ac:dyDescent="0.25">
      <c r="P5718" s="220"/>
      <c r="Q5718" s="366"/>
    </row>
    <row r="5719" spans="16:17" x14ac:dyDescent="0.25">
      <c r="P5719" s="220"/>
      <c r="Q5719" s="366"/>
    </row>
    <row r="5720" spans="16:17" x14ac:dyDescent="0.25">
      <c r="P5720" s="220"/>
      <c r="Q5720" s="366"/>
    </row>
    <row r="5721" spans="16:17" x14ac:dyDescent="0.25">
      <c r="P5721" s="220"/>
      <c r="Q5721" s="366"/>
    </row>
    <row r="5722" spans="16:17" x14ac:dyDescent="0.25">
      <c r="P5722" s="220"/>
      <c r="Q5722" s="366"/>
    </row>
    <row r="5723" spans="16:17" x14ac:dyDescent="0.25">
      <c r="P5723" s="220"/>
      <c r="Q5723" s="366"/>
    </row>
    <row r="5724" spans="16:17" x14ac:dyDescent="0.25">
      <c r="P5724" s="220"/>
      <c r="Q5724" s="366"/>
    </row>
    <row r="5725" spans="16:17" x14ac:dyDescent="0.25">
      <c r="P5725" s="220"/>
      <c r="Q5725" s="366"/>
    </row>
    <row r="5726" spans="16:17" x14ac:dyDescent="0.25">
      <c r="P5726" s="220"/>
      <c r="Q5726" s="366"/>
    </row>
    <row r="5727" spans="16:17" x14ac:dyDescent="0.25">
      <c r="P5727" s="220"/>
      <c r="Q5727" s="366"/>
    </row>
    <row r="5728" spans="16:17" x14ac:dyDescent="0.25">
      <c r="P5728" s="220"/>
      <c r="Q5728" s="366"/>
    </row>
    <row r="5729" spans="16:17" x14ac:dyDescent="0.25">
      <c r="P5729" s="220"/>
      <c r="Q5729" s="366"/>
    </row>
    <row r="5730" spans="16:17" x14ac:dyDescent="0.25">
      <c r="P5730" s="220"/>
      <c r="Q5730" s="366"/>
    </row>
    <row r="5731" spans="16:17" x14ac:dyDescent="0.25">
      <c r="P5731" s="220"/>
      <c r="Q5731" s="366"/>
    </row>
    <row r="5732" spans="16:17" x14ac:dyDescent="0.25">
      <c r="P5732" s="220"/>
      <c r="Q5732" s="366"/>
    </row>
    <row r="5733" spans="16:17" x14ac:dyDescent="0.25">
      <c r="P5733" s="220"/>
      <c r="Q5733" s="366"/>
    </row>
    <row r="5734" spans="16:17" x14ac:dyDescent="0.25">
      <c r="P5734" s="220"/>
      <c r="Q5734" s="366"/>
    </row>
    <row r="5735" spans="16:17" x14ac:dyDescent="0.25">
      <c r="P5735" s="220"/>
      <c r="Q5735" s="366"/>
    </row>
    <row r="5736" spans="16:17" x14ac:dyDescent="0.25">
      <c r="P5736" s="220"/>
      <c r="Q5736" s="366"/>
    </row>
    <row r="5737" spans="16:17" x14ac:dyDescent="0.25">
      <c r="P5737" s="220"/>
      <c r="Q5737" s="366"/>
    </row>
    <row r="5738" spans="16:17" x14ac:dyDescent="0.25">
      <c r="P5738" s="220"/>
      <c r="Q5738" s="366"/>
    </row>
    <row r="5739" spans="16:17" x14ac:dyDescent="0.25">
      <c r="P5739" s="220"/>
      <c r="Q5739" s="366"/>
    </row>
    <row r="5740" spans="16:17" x14ac:dyDescent="0.25">
      <c r="P5740" s="220"/>
      <c r="Q5740" s="366"/>
    </row>
    <row r="5741" spans="16:17" x14ac:dyDescent="0.25">
      <c r="P5741" s="220"/>
      <c r="Q5741" s="366"/>
    </row>
    <row r="5742" spans="16:17" x14ac:dyDescent="0.25">
      <c r="P5742" s="220"/>
      <c r="Q5742" s="366"/>
    </row>
    <row r="5743" spans="16:17" x14ac:dyDescent="0.25">
      <c r="P5743" s="220"/>
      <c r="Q5743" s="366"/>
    </row>
    <row r="5744" spans="16:17" x14ac:dyDescent="0.25">
      <c r="P5744" s="220"/>
      <c r="Q5744" s="366"/>
    </row>
    <row r="5745" spans="16:17" x14ac:dyDescent="0.25">
      <c r="P5745" s="220"/>
      <c r="Q5745" s="366"/>
    </row>
    <row r="5746" spans="16:17" x14ac:dyDescent="0.25">
      <c r="P5746" s="220"/>
      <c r="Q5746" s="366"/>
    </row>
    <row r="5747" spans="16:17" x14ac:dyDescent="0.25">
      <c r="P5747" s="220"/>
      <c r="Q5747" s="366"/>
    </row>
    <row r="5748" spans="16:17" x14ac:dyDescent="0.25">
      <c r="P5748" s="220"/>
      <c r="Q5748" s="366"/>
    </row>
    <row r="5749" spans="16:17" x14ac:dyDescent="0.25">
      <c r="P5749" s="220"/>
      <c r="Q5749" s="366"/>
    </row>
    <row r="5750" spans="16:17" x14ac:dyDescent="0.25">
      <c r="P5750" s="220"/>
      <c r="Q5750" s="366"/>
    </row>
    <row r="5751" spans="16:17" x14ac:dyDescent="0.25">
      <c r="P5751" s="220"/>
      <c r="Q5751" s="366"/>
    </row>
    <row r="5752" spans="16:17" x14ac:dyDescent="0.25">
      <c r="P5752" s="220"/>
      <c r="Q5752" s="366"/>
    </row>
    <row r="5753" spans="16:17" x14ac:dyDescent="0.25">
      <c r="P5753" s="220"/>
      <c r="Q5753" s="366"/>
    </row>
    <row r="5754" spans="16:17" x14ac:dyDescent="0.25">
      <c r="P5754" s="220"/>
      <c r="Q5754" s="366"/>
    </row>
    <row r="5755" spans="16:17" x14ac:dyDescent="0.25">
      <c r="P5755" s="220"/>
      <c r="Q5755" s="366"/>
    </row>
    <row r="5756" spans="16:17" x14ac:dyDescent="0.25">
      <c r="P5756" s="220"/>
      <c r="Q5756" s="366"/>
    </row>
    <row r="5757" spans="16:17" x14ac:dyDescent="0.25">
      <c r="P5757" s="220"/>
      <c r="Q5757" s="366"/>
    </row>
    <row r="5758" spans="16:17" x14ac:dyDescent="0.25">
      <c r="P5758" s="220"/>
      <c r="Q5758" s="366"/>
    </row>
    <row r="5759" spans="16:17" x14ac:dyDescent="0.25">
      <c r="P5759" s="220"/>
      <c r="Q5759" s="366"/>
    </row>
    <row r="5760" spans="16:17" x14ac:dyDescent="0.25">
      <c r="P5760" s="220"/>
      <c r="Q5760" s="366"/>
    </row>
    <row r="5761" spans="16:17" x14ac:dyDescent="0.25">
      <c r="P5761" s="220"/>
      <c r="Q5761" s="366"/>
    </row>
    <row r="5762" spans="16:17" x14ac:dyDescent="0.25">
      <c r="P5762" s="220"/>
      <c r="Q5762" s="366"/>
    </row>
    <row r="5763" spans="16:17" x14ac:dyDescent="0.25">
      <c r="P5763" s="220"/>
      <c r="Q5763" s="366"/>
    </row>
    <row r="5764" spans="16:17" x14ac:dyDescent="0.25">
      <c r="P5764" s="220"/>
      <c r="Q5764" s="366"/>
    </row>
    <row r="5765" spans="16:17" x14ac:dyDescent="0.25">
      <c r="P5765" s="220"/>
      <c r="Q5765" s="366"/>
    </row>
    <row r="5766" spans="16:17" x14ac:dyDescent="0.25">
      <c r="P5766" s="220"/>
      <c r="Q5766" s="366"/>
    </row>
    <row r="5767" spans="16:17" x14ac:dyDescent="0.25">
      <c r="P5767" s="220"/>
      <c r="Q5767" s="366"/>
    </row>
    <row r="5768" spans="16:17" x14ac:dyDescent="0.25">
      <c r="P5768" s="220"/>
      <c r="Q5768" s="366"/>
    </row>
    <row r="5769" spans="16:17" x14ac:dyDescent="0.25">
      <c r="P5769" s="220"/>
      <c r="Q5769" s="366"/>
    </row>
    <row r="5770" spans="16:17" x14ac:dyDescent="0.25">
      <c r="P5770" s="220"/>
      <c r="Q5770" s="366"/>
    </row>
    <row r="5771" spans="16:17" x14ac:dyDescent="0.25">
      <c r="P5771" s="220"/>
      <c r="Q5771" s="366"/>
    </row>
    <row r="5772" spans="16:17" x14ac:dyDescent="0.25">
      <c r="P5772" s="220"/>
      <c r="Q5772" s="366"/>
    </row>
    <row r="5773" spans="16:17" x14ac:dyDescent="0.25">
      <c r="P5773" s="220"/>
      <c r="Q5773" s="366"/>
    </row>
    <row r="5774" spans="16:17" x14ac:dyDescent="0.25">
      <c r="P5774" s="220"/>
      <c r="Q5774" s="366"/>
    </row>
    <row r="5775" spans="16:17" x14ac:dyDescent="0.25">
      <c r="P5775" s="220"/>
      <c r="Q5775" s="366"/>
    </row>
    <row r="5776" spans="16:17" x14ac:dyDescent="0.25">
      <c r="P5776" s="220"/>
      <c r="Q5776" s="366"/>
    </row>
    <row r="5777" spans="16:17" x14ac:dyDescent="0.25">
      <c r="P5777" s="220"/>
      <c r="Q5777" s="366"/>
    </row>
    <row r="5778" spans="16:17" x14ac:dyDescent="0.25">
      <c r="P5778" s="220"/>
      <c r="Q5778" s="366"/>
    </row>
    <row r="5779" spans="16:17" x14ac:dyDescent="0.25">
      <c r="P5779" s="220"/>
      <c r="Q5779" s="366"/>
    </row>
    <row r="5780" spans="16:17" x14ac:dyDescent="0.25">
      <c r="P5780" s="220"/>
      <c r="Q5780" s="366"/>
    </row>
    <row r="5781" spans="16:17" x14ac:dyDescent="0.25">
      <c r="P5781" s="220"/>
      <c r="Q5781" s="366"/>
    </row>
    <row r="5782" spans="16:17" x14ac:dyDescent="0.25">
      <c r="P5782" s="220"/>
      <c r="Q5782" s="366"/>
    </row>
    <row r="5783" spans="16:17" x14ac:dyDescent="0.25">
      <c r="P5783" s="220"/>
      <c r="Q5783" s="366"/>
    </row>
    <row r="5784" spans="16:17" x14ac:dyDescent="0.25">
      <c r="P5784" s="220"/>
      <c r="Q5784" s="366"/>
    </row>
    <row r="5785" spans="16:17" x14ac:dyDescent="0.25">
      <c r="P5785" s="220"/>
      <c r="Q5785" s="366"/>
    </row>
    <row r="5786" spans="16:17" x14ac:dyDescent="0.25">
      <c r="P5786" s="220"/>
      <c r="Q5786" s="366"/>
    </row>
    <row r="5787" spans="16:17" x14ac:dyDescent="0.25">
      <c r="P5787" s="220"/>
      <c r="Q5787" s="366"/>
    </row>
    <row r="5788" spans="16:17" x14ac:dyDescent="0.25">
      <c r="P5788" s="220"/>
      <c r="Q5788" s="366"/>
    </row>
    <row r="5789" spans="16:17" x14ac:dyDescent="0.25">
      <c r="P5789" s="220"/>
      <c r="Q5789" s="366"/>
    </row>
    <row r="5790" spans="16:17" x14ac:dyDescent="0.25">
      <c r="P5790" s="220"/>
      <c r="Q5790" s="366"/>
    </row>
    <row r="5791" spans="16:17" x14ac:dyDescent="0.25">
      <c r="P5791" s="220"/>
      <c r="Q5791" s="366"/>
    </row>
    <row r="5792" spans="16:17" x14ac:dyDescent="0.25">
      <c r="P5792" s="220"/>
      <c r="Q5792" s="366"/>
    </row>
    <row r="5793" spans="16:17" x14ac:dyDescent="0.25">
      <c r="P5793" s="220"/>
      <c r="Q5793" s="366"/>
    </row>
    <row r="5794" spans="16:17" x14ac:dyDescent="0.25">
      <c r="P5794" s="220"/>
      <c r="Q5794" s="366"/>
    </row>
    <row r="5795" spans="16:17" x14ac:dyDescent="0.25">
      <c r="P5795" s="220"/>
      <c r="Q5795" s="366"/>
    </row>
    <row r="5796" spans="16:17" x14ac:dyDescent="0.25">
      <c r="P5796" s="220"/>
      <c r="Q5796" s="366"/>
    </row>
    <row r="5797" spans="16:17" x14ac:dyDescent="0.25">
      <c r="P5797" s="220"/>
      <c r="Q5797" s="366"/>
    </row>
    <row r="5798" spans="16:17" x14ac:dyDescent="0.25">
      <c r="P5798" s="220"/>
      <c r="Q5798" s="366"/>
    </row>
    <row r="5799" spans="16:17" x14ac:dyDescent="0.25">
      <c r="P5799" s="220"/>
      <c r="Q5799" s="366"/>
    </row>
    <row r="5800" spans="16:17" x14ac:dyDescent="0.25">
      <c r="P5800" s="220"/>
      <c r="Q5800" s="366"/>
    </row>
    <row r="5801" spans="16:17" x14ac:dyDescent="0.25">
      <c r="P5801" s="220"/>
      <c r="Q5801" s="366"/>
    </row>
    <row r="5802" spans="16:17" x14ac:dyDescent="0.25">
      <c r="P5802" s="220"/>
      <c r="Q5802" s="366"/>
    </row>
    <row r="5803" spans="16:17" x14ac:dyDescent="0.25">
      <c r="P5803" s="220"/>
      <c r="Q5803" s="366"/>
    </row>
    <row r="5804" spans="16:17" x14ac:dyDescent="0.25">
      <c r="P5804" s="220"/>
      <c r="Q5804" s="366"/>
    </row>
    <row r="5805" spans="16:17" x14ac:dyDescent="0.25">
      <c r="P5805" s="220"/>
      <c r="Q5805" s="366"/>
    </row>
    <row r="5806" spans="16:17" x14ac:dyDescent="0.25">
      <c r="P5806" s="220"/>
      <c r="Q5806" s="366"/>
    </row>
    <row r="5807" spans="16:17" x14ac:dyDescent="0.25">
      <c r="P5807" s="220"/>
      <c r="Q5807" s="366"/>
    </row>
    <row r="5808" spans="16:17" x14ac:dyDescent="0.25">
      <c r="P5808" s="220"/>
      <c r="Q5808" s="366"/>
    </row>
    <row r="5809" spans="16:17" x14ac:dyDescent="0.25">
      <c r="P5809" s="220"/>
      <c r="Q5809" s="366"/>
    </row>
    <row r="5810" spans="16:17" x14ac:dyDescent="0.25">
      <c r="P5810" s="220"/>
      <c r="Q5810" s="366"/>
    </row>
    <row r="5811" spans="16:17" x14ac:dyDescent="0.25">
      <c r="P5811" s="220"/>
      <c r="Q5811" s="366"/>
    </row>
    <row r="5812" spans="16:17" x14ac:dyDescent="0.25">
      <c r="P5812" s="220"/>
      <c r="Q5812" s="366"/>
    </row>
    <row r="5813" spans="16:17" x14ac:dyDescent="0.25">
      <c r="P5813" s="220"/>
      <c r="Q5813" s="366"/>
    </row>
    <row r="5814" spans="16:17" x14ac:dyDescent="0.25">
      <c r="P5814" s="220"/>
      <c r="Q5814" s="366"/>
    </row>
    <row r="5815" spans="16:17" x14ac:dyDescent="0.25">
      <c r="P5815" s="220"/>
      <c r="Q5815" s="366"/>
    </row>
    <row r="5816" spans="16:17" x14ac:dyDescent="0.25">
      <c r="P5816" s="220"/>
      <c r="Q5816" s="366"/>
    </row>
    <row r="5817" spans="16:17" x14ac:dyDescent="0.25">
      <c r="P5817" s="220"/>
      <c r="Q5817" s="366"/>
    </row>
    <row r="5818" spans="16:17" x14ac:dyDescent="0.25">
      <c r="P5818" s="220"/>
      <c r="Q5818" s="366"/>
    </row>
    <row r="5819" spans="16:17" x14ac:dyDescent="0.25">
      <c r="P5819" s="220"/>
      <c r="Q5819" s="366"/>
    </row>
    <row r="5820" spans="16:17" x14ac:dyDescent="0.25">
      <c r="P5820" s="220"/>
      <c r="Q5820" s="366"/>
    </row>
    <row r="5821" spans="16:17" x14ac:dyDescent="0.25">
      <c r="P5821" s="220"/>
      <c r="Q5821" s="366"/>
    </row>
    <row r="5822" spans="16:17" x14ac:dyDescent="0.25">
      <c r="P5822" s="220"/>
      <c r="Q5822" s="366"/>
    </row>
    <row r="5823" spans="16:17" x14ac:dyDescent="0.25">
      <c r="P5823" s="220"/>
      <c r="Q5823" s="366"/>
    </row>
    <row r="5824" spans="16:17" x14ac:dyDescent="0.25">
      <c r="P5824" s="220"/>
      <c r="Q5824" s="366"/>
    </row>
    <row r="5825" spans="16:17" x14ac:dyDescent="0.25">
      <c r="P5825" s="220"/>
      <c r="Q5825" s="366"/>
    </row>
    <row r="5826" spans="16:17" x14ac:dyDescent="0.25">
      <c r="P5826" s="220"/>
      <c r="Q5826" s="366"/>
    </row>
    <row r="5827" spans="16:17" x14ac:dyDescent="0.25">
      <c r="P5827" s="220"/>
      <c r="Q5827" s="366"/>
    </row>
    <row r="5828" spans="16:17" x14ac:dyDescent="0.25">
      <c r="P5828" s="220"/>
      <c r="Q5828" s="366"/>
    </row>
    <row r="5829" spans="16:17" x14ac:dyDescent="0.25">
      <c r="P5829" s="220"/>
      <c r="Q5829" s="366"/>
    </row>
    <row r="5830" spans="16:17" x14ac:dyDescent="0.25">
      <c r="P5830" s="220"/>
      <c r="Q5830" s="366"/>
    </row>
    <row r="5831" spans="16:17" x14ac:dyDescent="0.25">
      <c r="P5831" s="220"/>
      <c r="Q5831" s="366"/>
    </row>
    <row r="5832" spans="16:17" x14ac:dyDescent="0.25">
      <c r="P5832" s="220"/>
      <c r="Q5832" s="366"/>
    </row>
    <row r="5833" spans="16:17" x14ac:dyDescent="0.25">
      <c r="P5833" s="220"/>
      <c r="Q5833" s="366"/>
    </row>
    <row r="5834" spans="16:17" x14ac:dyDescent="0.25">
      <c r="P5834" s="220"/>
      <c r="Q5834" s="366"/>
    </row>
    <row r="5835" spans="16:17" x14ac:dyDescent="0.25">
      <c r="P5835" s="220"/>
      <c r="Q5835" s="366"/>
    </row>
    <row r="5836" spans="16:17" x14ac:dyDescent="0.25">
      <c r="P5836" s="220"/>
      <c r="Q5836" s="366"/>
    </row>
    <row r="5837" spans="16:17" x14ac:dyDescent="0.25">
      <c r="P5837" s="220"/>
      <c r="Q5837" s="366"/>
    </row>
    <row r="5838" spans="16:17" x14ac:dyDescent="0.25">
      <c r="P5838" s="220"/>
      <c r="Q5838" s="366"/>
    </row>
    <row r="5839" spans="16:17" x14ac:dyDescent="0.25">
      <c r="P5839" s="220"/>
      <c r="Q5839" s="366"/>
    </row>
    <row r="5840" spans="16:17" x14ac:dyDescent="0.25">
      <c r="P5840" s="220"/>
      <c r="Q5840" s="366"/>
    </row>
    <row r="5841" spans="16:17" x14ac:dyDescent="0.25">
      <c r="P5841" s="220"/>
      <c r="Q5841" s="366"/>
    </row>
    <row r="5842" spans="16:17" x14ac:dyDescent="0.25">
      <c r="P5842" s="220"/>
      <c r="Q5842" s="366"/>
    </row>
    <row r="5843" spans="16:17" x14ac:dyDescent="0.25">
      <c r="P5843" s="220"/>
      <c r="Q5843" s="366"/>
    </row>
    <row r="5844" spans="16:17" x14ac:dyDescent="0.25">
      <c r="P5844" s="220"/>
      <c r="Q5844" s="366"/>
    </row>
    <row r="5845" spans="16:17" x14ac:dyDescent="0.25">
      <c r="P5845" s="220"/>
      <c r="Q5845" s="366"/>
    </row>
    <row r="5846" spans="16:17" x14ac:dyDescent="0.25">
      <c r="P5846" s="220"/>
      <c r="Q5846" s="366"/>
    </row>
    <row r="5847" spans="16:17" x14ac:dyDescent="0.25">
      <c r="P5847" s="220"/>
      <c r="Q5847" s="366"/>
    </row>
    <row r="5848" spans="16:17" x14ac:dyDescent="0.25">
      <c r="P5848" s="220"/>
      <c r="Q5848" s="366"/>
    </row>
    <row r="5849" spans="16:17" x14ac:dyDescent="0.25">
      <c r="P5849" s="220"/>
      <c r="Q5849" s="366"/>
    </row>
    <row r="5850" spans="16:17" x14ac:dyDescent="0.25">
      <c r="P5850" s="220"/>
      <c r="Q5850" s="366"/>
    </row>
    <row r="5851" spans="16:17" x14ac:dyDescent="0.25">
      <c r="P5851" s="220"/>
      <c r="Q5851" s="366"/>
    </row>
    <row r="5852" spans="16:17" x14ac:dyDescent="0.25">
      <c r="P5852" s="220"/>
      <c r="Q5852" s="366"/>
    </row>
    <row r="5853" spans="16:17" x14ac:dyDescent="0.25">
      <c r="P5853" s="220"/>
      <c r="Q5853" s="366"/>
    </row>
    <row r="5854" spans="16:17" x14ac:dyDescent="0.25">
      <c r="P5854" s="220"/>
      <c r="Q5854" s="366"/>
    </row>
    <row r="5855" spans="16:17" x14ac:dyDescent="0.25">
      <c r="P5855" s="220"/>
      <c r="Q5855" s="366"/>
    </row>
    <row r="5856" spans="16:17" x14ac:dyDescent="0.25">
      <c r="P5856" s="220"/>
      <c r="Q5856" s="366"/>
    </row>
    <row r="5857" spans="16:17" x14ac:dyDescent="0.25">
      <c r="P5857" s="220"/>
      <c r="Q5857" s="366"/>
    </row>
    <row r="5858" spans="16:17" x14ac:dyDescent="0.25">
      <c r="P5858" s="220"/>
      <c r="Q5858" s="366"/>
    </row>
    <row r="5859" spans="16:17" x14ac:dyDescent="0.25">
      <c r="P5859" s="220"/>
      <c r="Q5859" s="366"/>
    </row>
    <row r="5860" spans="16:17" x14ac:dyDescent="0.25">
      <c r="P5860" s="220"/>
      <c r="Q5860" s="366"/>
    </row>
    <row r="5861" spans="16:17" x14ac:dyDescent="0.25">
      <c r="P5861" s="220"/>
      <c r="Q5861" s="366"/>
    </row>
    <row r="5862" spans="16:17" x14ac:dyDescent="0.25">
      <c r="P5862" s="220"/>
      <c r="Q5862" s="366"/>
    </row>
    <row r="5863" spans="16:17" x14ac:dyDescent="0.25">
      <c r="P5863" s="220"/>
      <c r="Q5863" s="366"/>
    </row>
    <row r="5864" spans="16:17" x14ac:dyDescent="0.25">
      <c r="P5864" s="220"/>
      <c r="Q5864" s="366"/>
    </row>
    <row r="5865" spans="16:17" x14ac:dyDescent="0.25">
      <c r="P5865" s="220"/>
      <c r="Q5865" s="366"/>
    </row>
    <row r="5866" spans="16:17" x14ac:dyDescent="0.25">
      <c r="P5866" s="220"/>
      <c r="Q5866" s="366"/>
    </row>
    <row r="5867" spans="16:17" x14ac:dyDescent="0.25">
      <c r="P5867" s="220"/>
      <c r="Q5867" s="366"/>
    </row>
    <row r="5868" spans="16:17" x14ac:dyDescent="0.25">
      <c r="P5868" s="220"/>
      <c r="Q5868" s="366"/>
    </row>
    <row r="5869" spans="16:17" x14ac:dyDescent="0.25">
      <c r="P5869" s="220"/>
      <c r="Q5869" s="366"/>
    </row>
    <row r="5870" spans="16:17" x14ac:dyDescent="0.25">
      <c r="P5870" s="220"/>
      <c r="Q5870" s="366"/>
    </row>
    <row r="5871" spans="16:17" x14ac:dyDescent="0.25">
      <c r="P5871" s="220"/>
      <c r="Q5871" s="366"/>
    </row>
    <row r="5872" spans="16:17" x14ac:dyDescent="0.25">
      <c r="P5872" s="220"/>
      <c r="Q5872" s="366"/>
    </row>
    <row r="5873" spans="16:17" x14ac:dyDescent="0.25">
      <c r="P5873" s="220"/>
      <c r="Q5873" s="366"/>
    </row>
    <row r="5874" spans="16:17" x14ac:dyDescent="0.25">
      <c r="P5874" s="220"/>
      <c r="Q5874" s="366"/>
    </row>
    <row r="5875" spans="16:17" x14ac:dyDescent="0.25">
      <c r="P5875" s="220"/>
      <c r="Q5875" s="366"/>
    </row>
    <row r="5876" spans="16:17" x14ac:dyDescent="0.25">
      <c r="P5876" s="220"/>
      <c r="Q5876" s="366"/>
    </row>
    <row r="5877" spans="16:17" x14ac:dyDescent="0.25">
      <c r="P5877" s="220"/>
      <c r="Q5877" s="366"/>
    </row>
    <row r="5878" spans="16:17" x14ac:dyDescent="0.25">
      <c r="P5878" s="220"/>
      <c r="Q5878" s="366"/>
    </row>
    <row r="5879" spans="16:17" x14ac:dyDescent="0.25">
      <c r="P5879" s="220"/>
      <c r="Q5879" s="366"/>
    </row>
    <row r="5880" spans="16:17" x14ac:dyDescent="0.25">
      <c r="P5880" s="220"/>
      <c r="Q5880" s="366"/>
    </row>
    <row r="5881" spans="16:17" x14ac:dyDescent="0.25">
      <c r="P5881" s="220"/>
      <c r="Q5881" s="366"/>
    </row>
    <row r="5882" spans="16:17" x14ac:dyDescent="0.25">
      <c r="P5882" s="220"/>
      <c r="Q5882" s="366"/>
    </row>
    <row r="5883" spans="16:17" x14ac:dyDescent="0.25">
      <c r="P5883" s="220"/>
      <c r="Q5883" s="366"/>
    </row>
    <row r="5884" spans="16:17" x14ac:dyDescent="0.25">
      <c r="P5884" s="220"/>
      <c r="Q5884" s="366"/>
    </row>
    <row r="5885" spans="16:17" x14ac:dyDescent="0.25">
      <c r="P5885" s="220"/>
      <c r="Q5885" s="366"/>
    </row>
    <row r="5886" spans="16:17" x14ac:dyDescent="0.25">
      <c r="P5886" s="220"/>
      <c r="Q5886" s="366"/>
    </row>
    <row r="5887" spans="16:17" x14ac:dyDescent="0.25">
      <c r="P5887" s="220"/>
      <c r="Q5887" s="366"/>
    </row>
    <row r="5888" spans="16:17" x14ac:dyDescent="0.25">
      <c r="P5888" s="220"/>
      <c r="Q5888" s="366"/>
    </row>
    <row r="5889" spans="16:17" x14ac:dyDescent="0.25">
      <c r="P5889" s="220"/>
      <c r="Q5889" s="366"/>
    </row>
    <row r="5890" spans="16:17" x14ac:dyDescent="0.25">
      <c r="P5890" s="220"/>
      <c r="Q5890" s="366"/>
    </row>
    <row r="5891" spans="16:17" x14ac:dyDescent="0.25">
      <c r="P5891" s="220"/>
      <c r="Q5891" s="366"/>
    </row>
    <row r="5892" spans="16:17" x14ac:dyDescent="0.25">
      <c r="P5892" s="220"/>
      <c r="Q5892" s="366"/>
    </row>
    <row r="5893" spans="16:17" x14ac:dyDescent="0.25">
      <c r="P5893" s="220"/>
      <c r="Q5893" s="366"/>
    </row>
    <row r="5894" spans="16:17" x14ac:dyDescent="0.25">
      <c r="P5894" s="220"/>
      <c r="Q5894" s="366"/>
    </row>
    <row r="5895" spans="16:17" x14ac:dyDescent="0.25">
      <c r="P5895" s="220"/>
      <c r="Q5895" s="366"/>
    </row>
    <row r="5896" spans="16:17" x14ac:dyDescent="0.25">
      <c r="P5896" s="220"/>
      <c r="Q5896" s="366"/>
    </row>
    <row r="5897" spans="16:17" x14ac:dyDescent="0.25">
      <c r="P5897" s="220"/>
      <c r="Q5897" s="366"/>
    </row>
    <row r="5898" spans="16:17" x14ac:dyDescent="0.25">
      <c r="P5898" s="220"/>
      <c r="Q5898" s="366"/>
    </row>
    <row r="5899" spans="16:17" x14ac:dyDescent="0.25">
      <c r="P5899" s="220"/>
      <c r="Q5899" s="366"/>
    </row>
    <row r="5900" spans="16:17" x14ac:dyDescent="0.25">
      <c r="P5900" s="220"/>
      <c r="Q5900" s="366"/>
    </row>
    <row r="5901" spans="16:17" x14ac:dyDescent="0.25">
      <c r="P5901" s="220"/>
      <c r="Q5901" s="366"/>
    </row>
    <row r="5902" spans="16:17" x14ac:dyDescent="0.25">
      <c r="P5902" s="220"/>
      <c r="Q5902" s="366"/>
    </row>
    <row r="5903" spans="16:17" x14ac:dyDescent="0.25">
      <c r="P5903" s="220"/>
      <c r="Q5903" s="366"/>
    </row>
    <row r="5904" spans="16:17" x14ac:dyDescent="0.25">
      <c r="P5904" s="220"/>
      <c r="Q5904" s="366"/>
    </row>
    <row r="5905" spans="16:17" x14ac:dyDescent="0.25">
      <c r="P5905" s="220"/>
      <c r="Q5905" s="366"/>
    </row>
    <row r="5906" spans="16:17" x14ac:dyDescent="0.25">
      <c r="P5906" s="220"/>
      <c r="Q5906" s="366"/>
    </row>
    <row r="5907" spans="16:17" x14ac:dyDescent="0.25">
      <c r="P5907" s="220"/>
      <c r="Q5907" s="366"/>
    </row>
    <row r="5908" spans="16:17" x14ac:dyDescent="0.25">
      <c r="P5908" s="220"/>
      <c r="Q5908" s="366"/>
    </row>
    <row r="5909" spans="16:17" x14ac:dyDescent="0.25">
      <c r="P5909" s="220"/>
      <c r="Q5909" s="366"/>
    </row>
    <row r="5910" spans="16:17" x14ac:dyDescent="0.25">
      <c r="P5910" s="220"/>
      <c r="Q5910" s="366"/>
    </row>
    <row r="5911" spans="16:17" x14ac:dyDescent="0.25">
      <c r="P5911" s="220"/>
      <c r="Q5911" s="366"/>
    </row>
    <row r="5912" spans="16:17" x14ac:dyDescent="0.25">
      <c r="P5912" s="220"/>
      <c r="Q5912" s="366"/>
    </row>
    <row r="5913" spans="16:17" x14ac:dyDescent="0.25">
      <c r="P5913" s="220"/>
      <c r="Q5913" s="366"/>
    </row>
    <row r="5914" spans="16:17" x14ac:dyDescent="0.25">
      <c r="P5914" s="220"/>
      <c r="Q5914" s="366"/>
    </row>
    <row r="5915" spans="16:17" x14ac:dyDescent="0.25">
      <c r="P5915" s="220"/>
      <c r="Q5915" s="366"/>
    </row>
    <row r="5916" spans="16:17" x14ac:dyDescent="0.25">
      <c r="P5916" s="220"/>
      <c r="Q5916" s="366"/>
    </row>
    <row r="5917" spans="16:17" x14ac:dyDescent="0.25">
      <c r="P5917" s="220"/>
      <c r="Q5917" s="366"/>
    </row>
    <row r="5918" spans="16:17" x14ac:dyDescent="0.25">
      <c r="P5918" s="220"/>
      <c r="Q5918" s="366"/>
    </row>
    <row r="5919" spans="16:17" x14ac:dyDescent="0.25">
      <c r="P5919" s="220"/>
      <c r="Q5919" s="366"/>
    </row>
    <row r="5920" spans="16:17" x14ac:dyDescent="0.25">
      <c r="P5920" s="220"/>
      <c r="Q5920" s="366"/>
    </row>
    <row r="5921" spans="16:17" x14ac:dyDescent="0.25">
      <c r="P5921" s="220"/>
      <c r="Q5921" s="366"/>
    </row>
    <row r="5922" spans="16:17" x14ac:dyDescent="0.25">
      <c r="P5922" s="220"/>
      <c r="Q5922" s="366"/>
    </row>
    <row r="5923" spans="16:17" x14ac:dyDescent="0.25">
      <c r="P5923" s="220"/>
      <c r="Q5923" s="366"/>
    </row>
    <row r="5924" spans="16:17" x14ac:dyDescent="0.25">
      <c r="P5924" s="220"/>
      <c r="Q5924" s="366"/>
    </row>
    <row r="5925" spans="16:17" x14ac:dyDescent="0.25">
      <c r="P5925" s="220"/>
      <c r="Q5925" s="366"/>
    </row>
    <row r="5926" spans="16:17" x14ac:dyDescent="0.25">
      <c r="P5926" s="220"/>
      <c r="Q5926" s="366"/>
    </row>
    <row r="5927" spans="16:17" x14ac:dyDescent="0.25">
      <c r="P5927" s="220"/>
      <c r="Q5927" s="366"/>
    </row>
    <row r="5928" spans="16:17" x14ac:dyDescent="0.25">
      <c r="P5928" s="220"/>
      <c r="Q5928" s="366"/>
    </row>
    <row r="5929" spans="16:17" x14ac:dyDescent="0.25">
      <c r="P5929" s="220"/>
      <c r="Q5929" s="366"/>
    </row>
    <row r="5930" spans="16:17" x14ac:dyDescent="0.25">
      <c r="P5930" s="220"/>
      <c r="Q5930" s="366"/>
    </row>
    <row r="5931" spans="16:17" x14ac:dyDescent="0.25">
      <c r="P5931" s="220"/>
      <c r="Q5931" s="366"/>
    </row>
    <row r="5932" spans="16:17" x14ac:dyDescent="0.25">
      <c r="P5932" s="220"/>
      <c r="Q5932" s="366"/>
    </row>
    <row r="5933" spans="16:17" x14ac:dyDescent="0.25">
      <c r="P5933" s="220"/>
      <c r="Q5933" s="366"/>
    </row>
    <row r="5934" spans="16:17" x14ac:dyDescent="0.25">
      <c r="P5934" s="220"/>
      <c r="Q5934" s="366"/>
    </row>
    <row r="5935" spans="16:17" x14ac:dyDescent="0.25">
      <c r="P5935" s="220"/>
      <c r="Q5935" s="366"/>
    </row>
    <row r="5936" spans="16:17" x14ac:dyDescent="0.25">
      <c r="P5936" s="220"/>
      <c r="Q5936" s="366"/>
    </row>
    <row r="5937" spans="16:17" x14ac:dyDescent="0.25">
      <c r="P5937" s="220"/>
      <c r="Q5937" s="366"/>
    </row>
    <row r="5938" spans="16:17" x14ac:dyDescent="0.25">
      <c r="P5938" s="220"/>
      <c r="Q5938" s="366"/>
    </row>
    <row r="5939" spans="16:17" x14ac:dyDescent="0.25">
      <c r="P5939" s="220"/>
      <c r="Q5939" s="366"/>
    </row>
    <row r="5940" spans="16:17" x14ac:dyDescent="0.25">
      <c r="P5940" s="220"/>
      <c r="Q5940" s="366"/>
    </row>
    <row r="5941" spans="16:17" x14ac:dyDescent="0.25">
      <c r="P5941" s="220"/>
      <c r="Q5941" s="366"/>
    </row>
    <row r="5942" spans="16:17" x14ac:dyDescent="0.25">
      <c r="P5942" s="220"/>
      <c r="Q5942" s="366"/>
    </row>
    <row r="5943" spans="16:17" x14ac:dyDescent="0.25">
      <c r="P5943" s="220"/>
      <c r="Q5943" s="366"/>
    </row>
    <row r="5944" spans="16:17" x14ac:dyDescent="0.25">
      <c r="P5944" s="220"/>
      <c r="Q5944" s="366"/>
    </row>
    <row r="5945" spans="16:17" x14ac:dyDescent="0.25">
      <c r="P5945" s="220"/>
      <c r="Q5945" s="366"/>
    </row>
    <row r="5946" spans="16:17" x14ac:dyDescent="0.25">
      <c r="P5946" s="220"/>
      <c r="Q5946" s="366"/>
    </row>
    <row r="5947" spans="16:17" x14ac:dyDescent="0.25">
      <c r="P5947" s="220"/>
      <c r="Q5947" s="366"/>
    </row>
    <row r="5948" spans="16:17" x14ac:dyDescent="0.25">
      <c r="P5948" s="220"/>
      <c r="Q5948" s="366"/>
    </row>
    <row r="5949" spans="16:17" x14ac:dyDescent="0.25">
      <c r="P5949" s="220"/>
      <c r="Q5949" s="366"/>
    </row>
    <row r="5950" spans="16:17" x14ac:dyDescent="0.25">
      <c r="P5950" s="220"/>
      <c r="Q5950" s="366"/>
    </row>
    <row r="5951" spans="16:17" x14ac:dyDescent="0.25">
      <c r="P5951" s="220"/>
      <c r="Q5951" s="366"/>
    </row>
    <row r="5952" spans="16:17" x14ac:dyDescent="0.25">
      <c r="P5952" s="220"/>
      <c r="Q5952" s="366"/>
    </row>
    <row r="5953" spans="16:17" x14ac:dyDescent="0.25">
      <c r="P5953" s="220"/>
      <c r="Q5953" s="366"/>
    </row>
    <row r="5954" spans="16:17" x14ac:dyDescent="0.25">
      <c r="P5954" s="220"/>
      <c r="Q5954" s="366"/>
    </row>
    <row r="5955" spans="16:17" x14ac:dyDescent="0.25">
      <c r="P5955" s="220"/>
      <c r="Q5955" s="366"/>
    </row>
    <row r="5956" spans="16:17" x14ac:dyDescent="0.25">
      <c r="P5956" s="220"/>
      <c r="Q5956" s="366"/>
    </row>
    <row r="5957" spans="16:17" x14ac:dyDescent="0.25">
      <c r="P5957" s="220"/>
      <c r="Q5957" s="366"/>
    </row>
    <row r="5958" spans="16:17" x14ac:dyDescent="0.25">
      <c r="P5958" s="220"/>
      <c r="Q5958" s="366"/>
    </row>
    <row r="5959" spans="16:17" x14ac:dyDescent="0.25">
      <c r="P5959" s="220"/>
      <c r="Q5959" s="366"/>
    </row>
    <row r="5960" spans="16:17" x14ac:dyDescent="0.25">
      <c r="P5960" s="220"/>
      <c r="Q5960" s="366"/>
    </row>
    <row r="5961" spans="16:17" x14ac:dyDescent="0.25">
      <c r="P5961" s="220"/>
      <c r="Q5961" s="366"/>
    </row>
    <row r="5962" spans="16:17" x14ac:dyDescent="0.25">
      <c r="P5962" s="220"/>
      <c r="Q5962" s="366"/>
    </row>
    <row r="5963" spans="16:17" x14ac:dyDescent="0.25">
      <c r="P5963" s="220"/>
      <c r="Q5963" s="366"/>
    </row>
    <row r="5964" spans="16:17" x14ac:dyDescent="0.25">
      <c r="P5964" s="220"/>
      <c r="Q5964" s="366"/>
    </row>
    <row r="5965" spans="16:17" x14ac:dyDescent="0.25">
      <c r="P5965" s="220"/>
      <c r="Q5965" s="366"/>
    </row>
    <row r="5966" spans="16:17" x14ac:dyDescent="0.25">
      <c r="P5966" s="220"/>
      <c r="Q5966" s="366"/>
    </row>
    <row r="5967" spans="16:17" x14ac:dyDescent="0.25">
      <c r="P5967" s="220"/>
      <c r="Q5967" s="366"/>
    </row>
    <row r="5968" spans="16:17" x14ac:dyDescent="0.25">
      <c r="P5968" s="220"/>
      <c r="Q5968" s="366"/>
    </row>
    <row r="5969" spans="16:17" x14ac:dyDescent="0.25">
      <c r="P5969" s="220"/>
      <c r="Q5969" s="366"/>
    </row>
    <row r="5970" spans="16:17" x14ac:dyDescent="0.25">
      <c r="P5970" s="220"/>
      <c r="Q5970" s="366"/>
    </row>
    <row r="5971" spans="16:17" x14ac:dyDescent="0.25">
      <c r="P5971" s="220"/>
      <c r="Q5971" s="366"/>
    </row>
    <row r="5972" spans="16:17" x14ac:dyDescent="0.25">
      <c r="P5972" s="220"/>
      <c r="Q5972" s="366"/>
    </row>
    <row r="5973" spans="16:17" x14ac:dyDescent="0.25">
      <c r="P5973" s="220"/>
      <c r="Q5973" s="366"/>
    </row>
    <row r="5974" spans="16:17" x14ac:dyDescent="0.25">
      <c r="P5974" s="220"/>
      <c r="Q5974" s="366"/>
    </row>
    <row r="5975" spans="16:17" x14ac:dyDescent="0.25">
      <c r="P5975" s="220"/>
      <c r="Q5975" s="366"/>
    </row>
    <row r="5976" spans="16:17" x14ac:dyDescent="0.25">
      <c r="P5976" s="220"/>
      <c r="Q5976" s="366"/>
    </row>
    <row r="5977" spans="16:17" x14ac:dyDescent="0.25">
      <c r="P5977" s="220"/>
      <c r="Q5977" s="366"/>
    </row>
    <row r="5978" spans="16:17" x14ac:dyDescent="0.25">
      <c r="P5978" s="220"/>
      <c r="Q5978" s="366"/>
    </row>
    <row r="5979" spans="16:17" x14ac:dyDescent="0.25">
      <c r="P5979" s="220"/>
      <c r="Q5979" s="366"/>
    </row>
    <row r="5980" spans="16:17" x14ac:dyDescent="0.25">
      <c r="P5980" s="220"/>
      <c r="Q5980" s="366"/>
    </row>
    <row r="5981" spans="16:17" x14ac:dyDescent="0.25">
      <c r="P5981" s="220"/>
      <c r="Q5981" s="366"/>
    </row>
    <row r="5982" spans="16:17" x14ac:dyDescent="0.25">
      <c r="P5982" s="220"/>
      <c r="Q5982" s="366"/>
    </row>
    <row r="5983" spans="16:17" x14ac:dyDescent="0.25">
      <c r="P5983" s="220"/>
      <c r="Q5983" s="366"/>
    </row>
    <row r="5984" spans="16:17" x14ac:dyDescent="0.25">
      <c r="P5984" s="220"/>
      <c r="Q5984" s="366"/>
    </row>
    <row r="5985" spans="16:17" x14ac:dyDescent="0.25">
      <c r="P5985" s="220"/>
      <c r="Q5985" s="366"/>
    </row>
    <row r="5986" spans="16:17" x14ac:dyDescent="0.25">
      <c r="P5986" s="220"/>
      <c r="Q5986" s="366"/>
    </row>
    <row r="5987" spans="16:17" x14ac:dyDescent="0.25">
      <c r="P5987" s="220"/>
      <c r="Q5987" s="366"/>
    </row>
    <row r="5988" spans="16:17" x14ac:dyDescent="0.25">
      <c r="P5988" s="220"/>
      <c r="Q5988" s="366"/>
    </row>
    <row r="5989" spans="16:17" x14ac:dyDescent="0.25">
      <c r="P5989" s="220"/>
      <c r="Q5989" s="366"/>
    </row>
    <row r="5990" spans="16:17" x14ac:dyDescent="0.25">
      <c r="P5990" s="220"/>
      <c r="Q5990" s="366"/>
    </row>
    <row r="5991" spans="16:17" x14ac:dyDescent="0.25">
      <c r="P5991" s="220"/>
      <c r="Q5991" s="366"/>
    </row>
    <row r="5992" spans="16:17" x14ac:dyDescent="0.25">
      <c r="P5992" s="220"/>
      <c r="Q5992" s="366"/>
    </row>
    <row r="5993" spans="16:17" x14ac:dyDescent="0.25">
      <c r="P5993" s="220"/>
      <c r="Q5993" s="366"/>
    </row>
    <row r="5994" spans="16:17" x14ac:dyDescent="0.25">
      <c r="P5994" s="220"/>
      <c r="Q5994" s="366"/>
    </row>
    <row r="5995" spans="16:17" x14ac:dyDescent="0.25">
      <c r="P5995" s="220"/>
      <c r="Q5995" s="366"/>
    </row>
    <row r="5996" spans="16:17" x14ac:dyDescent="0.25">
      <c r="P5996" s="220"/>
      <c r="Q5996" s="366"/>
    </row>
    <row r="5997" spans="16:17" x14ac:dyDescent="0.25">
      <c r="P5997" s="220"/>
      <c r="Q5997" s="366"/>
    </row>
    <row r="5998" spans="16:17" x14ac:dyDescent="0.25">
      <c r="P5998" s="220"/>
      <c r="Q5998" s="366"/>
    </row>
    <row r="5999" spans="16:17" x14ac:dyDescent="0.25">
      <c r="P5999" s="220"/>
      <c r="Q5999" s="366"/>
    </row>
    <row r="6000" spans="16:17" x14ac:dyDescent="0.25">
      <c r="P6000" s="220"/>
      <c r="Q6000" s="366"/>
    </row>
    <row r="6001" spans="16:17" x14ac:dyDescent="0.25">
      <c r="P6001" s="220"/>
      <c r="Q6001" s="366"/>
    </row>
    <row r="6002" spans="16:17" x14ac:dyDescent="0.25">
      <c r="P6002" s="220"/>
      <c r="Q6002" s="366"/>
    </row>
    <row r="6003" spans="16:17" x14ac:dyDescent="0.25">
      <c r="P6003" s="220"/>
      <c r="Q6003" s="366"/>
    </row>
    <row r="6004" spans="16:17" x14ac:dyDescent="0.25">
      <c r="P6004" s="220"/>
      <c r="Q6004" s="366"/>
    </row>
    <row r="6005" spans="16:17" x14ac:dyDescent="0.25">
      <c r="P6005" s="220"/>
      <c r="Q6005" s="366"/>
    </row>
    <row r="6006" spans="16:17" x14ac:dyDescent="0.25">
      <c r="P6006" s="220"/>
      <c r="Q6006" s="366"/>
    </row>
    <row r="6007" spans="16:17" x14ac:dyDescent="0.25">
      <c r="P6007" s="220"/>
      <c r="Q6007" s="366"/>
    </row>
    <row r="6008" spans="16:17" x14ac:dyDescent="0.25">
      <c r="P6008" s="220"/>
      <c r="Q6008" s="366"/>
    </row>
    <row r="6009" spans="16:17" x14ac:dyDescent="0.25">
      <c r="P6009" s="220"/>
      <c r="Q6009" s="366"/>
    </row>
    <row r="6010" spans="16:17" x14ac:dyDescent="0.25">
      <c r="P6010" s="220"/>
      <c r="Q6010" s="366"/>
    </row>
    <row r="6011" spans="16:17" x14ac:dyDescent="0.25">
      <c r="P6011" s="220"/>
      <c r="Q6011" s="366"/>
    </row>
    <row r="6012" spans="16:17" x14ac:dyDescent="0.25">
      <c r="P6012" s="220"/>
      <c r="Q6012" s="366"/>
    </row>
    <row r="6013" spans="16:17" x14ac:dyDescent="0.25">
      <c r="P6013" s="220"/>
      <c r="Q6013" s="366"/>
    </row>
    <row r="6014" spans="16:17" x14ac:dyDescent="0.25">
      <c r="P6014" s="220"/>
      <c r="Q6014" s="366"/>
    </row>
    <row r="6015" spans="16:17" x14ac:dyDescent="0.25">
      <c r="P6015" s="220"/>
      <c r="Q6015" s="366"/>
    </row>
    <row r="6016" spans="16:17" x14ac:dyDescent="0.25">
      <c r="P6016" s="220"/>
      <c r="Q6016" s="366"/>
    </row>
    <row r="6017" spans="16:17" x14ac:dyDescent="0.25">
      <c r="P6017" s="220"/>
      <c r="Q6017" s="366"/>
    </row>
    <row r="6018" spans="16:17" x14ac:dyDescent="0.25">
      <c r="P6018" s="220"/>
      <c r="Q6018" s="366"/>
    </row>
    <row r="6019" spans="16:17" x14ac:dyDescent="0.25">
      <c r="P6019" s="220"/>
      <c r="Q6019" s="366"/>
    </row>
    <row r="6020" spans="16:17" x14ac:dyDescent="0.25">
      <c r="P6020" s="220"/>
      <c r="Q6020" s="366"/>
    </row>
    <row r="6021" spans="16:17" x14ac:dyDescent="0.25">
      <c r="P6021" s="220"/>
      <c r="Q6021" s="366"/>
    </row>
    <row r="6022" spans="16:17" x14ac:dyDescent="0.25">
      <c r="P6022" s="220"/>
      <c r="Q6022" s="366"/>
    </row>
    <row r="6023" spans="16:17" x14ac:dyDescent="0.25">
      <c r="P6023" s="220"/>
      <c r="Q6023" s="366"/>
    </row>
    <row r="6024" spans="16:17" x14ac:dyDescent="0.25">
      <c r="P6024" s="220"/>
      <c r="Q6024" s="366"/>
    </row>
    <row r="6025" spans="16:17" x14ac:dyDescent="0.25">
      <c r="P6025" s="220"/>
      <c r="Q6025" s="366"/>
    </row>
    <row r="6026" spans="16:17" x14ac:dyDescent="0.25">
      <c r="P6026" s="220"/>
      <c r="Q6026" s="366"/>
    </row>
    <row r="6027" spans="16:17" x14ac:dyDescent="0.25">
      <c r="P6027" s="220"/>
      <c r="Q6027" s="366"/>
    </row>
    <row r="6028" spans="16:17" x14ac:dyDescent="0.25">
      <c r="P6028" s="220"/>
      <c r="Q6028" s="366"/>
    </row>
    <row r="6029" spans="16:17" x14ac:dyDescent="0.25">
      <c r="P6029" s="220"/>
      <c r="Q6029" s="366"/>
    </row>
    <row r="6030" spans="16:17" x14ac:dyDescent="0.25">
      <c r="P6030" s="220"/>
      <c r="Q6030" s="366"/>
    </row>
    <row r="6031" spans="16:17" x14ac:dyDescent="0.25">
      <c r="P6031" s="220"/>
      <c r="Q6031" s="366"/>
    </row>
    <row r="6032" spans="16:17" x14ac:dyDescent="0.25">
      <c r="P6032" s="220"/>
      <c r="Q6032" s="366"/>
    </row>
    <row r="6033" spans="16:17" x14ac:dyDescent="0.25">
      <c r="P6033" s="220"/>
      <c r="Q6033" s="366"/>
    </row>
    <row r="6034" spans="16:17" x14ac:dyDescent="0.25">
      <c r="P6034" s="220"/>
      <c r="Q6034" s="366"/>
    </row>
    <row r="6035" spans="16:17" x14ac:dyDescent="0.25">
      <c r="P6035" s="220"/>
      <c r="Q6035" s="366"/>
    </row>
    <row r="6036" spans="16:17" x14ac:dyDescent="0.25">
      <c r="P6036" s="220"/>
      <c r="Q6036" s="366"/>
    </row>
    <row r="6037" spans="16:17" x14ac:dyDescent="0.25">
      <c r="P6037" s="220"/>
      <c r="Q6037" s="366"/>
    </row>
    <row r="6038" spans="16:17" x14ac:dyDescent="0.25">
      <c r="P6038" s="220"/>
      <c r="Q6038" s="366"/>
    </row>
    <row r="6039" spans="16:17" x14ac:dyDescent="0.25">
      <c r="P6039" s="220"/>
      <c r="Q6039" s="366"/>
    </row>
    <row r="6040" spans="16:17" x14ac:dyDescent="0.25">
      <c r="P6040" s="220"/>
      <c r="Q6040" s="366"/>
    </row>
    <row r="6041" spans="16:17" x14ac:dyDescent="0.25">
      <c r="P6041" s="220"/>
      <c r="Q6041" s="366"/>
    </row>
    <row r="6042" spans="16:17" x14ac:dyDescent="0.25">
      <c r="P6042" s="220"/>
      <c r="Q6042" s="366"/>
    </row>
    <row r="6043" spans="16:17" x14ac:dyDescent="0.25">
      <c r="P6043" s="220"/>
      <c r="Q6043" s="366"/>
    </row>
    <row r="6044" spans="16:17" x14ac:dyDescent="0.25">
      <c r="P6044" s="220"/>
      <c r="Q6044" s="366"/>
    </row>
    <row r="6045" spans="16:17" x14ac:dyDescent="0.25">
      <c r="P6045" s="220"/>
      <c r="Q6045" s="366"/>
    </row>
    <row r="6046" spans="16:17" x14ac:dyDescent="0.25">
      <c r="P6046" s="220"/>
      <c r="Q6046" s="366"/>
    </row>
    <row r="6047" spans="16:17" x14ac:dyDescent="0.25">
      <c r="P6047" s="220"/>
      <c r="Q6047" s="366"/>
    </row>
    <row r="6048" spans="16:17" x14ac:dyDescent="0.25">
      <c r="P6048" s="220"/>
      <c r="Q6048" s="366"/>
    </row>
    <row r="6049" spans="16:17" x14ac:dyDescent="0.25">
      <c r="P6049" s="220"/>
      <c r="Q6049" s="366"/>
    </row>
    <row r="6050" spans="16:17" x14ac:dyDescent="0.25">
      <c r="P6050" s="220"/>
      <c r="Q6050" s="366"/>
    </row>
    <row r="6051" spans="16:17" x14ac:dyDescent="0.25">
      <c r="P6051" s="220"/>
      <c r="Q6051" s="366"/>
    </row>
    <row r="6052" spans="16:17" x14ac:dyDescent="0.25">
      <c r="P6052" s="220"/>
      <c r="Q6052" s="366"/>
    </row>
    <row r="6053" spans="16:17" x14ac:dyDescent="0.25">
      <c r="P6053" s="220"/>
      <c r="Q6053" s="366"/>
    </row>
    <row r="6054" spans="16:17" x14ac:dyDescent="0.25">
      <c r="P6054" s="220"/>
      <c r="Q6054" s="366"/>
    </row>
    <row r="6055" spans="16:17" x14ac:dyDescent="0.25">
      <c r="P6055" s="220"/>
      <c r="Q6055" s="366"/>
    </row>
    <row r="6056" spans="16:17" x14ac:dyDescent="0.25">
      <c r="P6056" s="220"/>
      <c r="Q6056" s="366"/>
    </row>
    <row r="6057" spans="16:17" x14ac:dyDescent="0.25">
      <c r="P6057" s="220"/>
      <c r="Q6057" s="366"/>
    </row>
    <row r="6058" spans="16:17" x14ac:dyDescent="0.25">
      <c r="P6058" s="220"/>
      <c r="Q6058" s="366"/>
    </row>
    <row r="6059" spans="16:17" x14ac:dyDescent="0.25">
      <c r="P6059" s="220"/>
      <c r="Q6059" s="366"/>
    </row>
    <row r="6060" spans="16:17" x14ac:dyDescent="0.25">
      <c r="P6060" s="220"/>
      <c r="Q6060" s="366"/>
    </row>
    <row r="6061" spans="16:17" x14ac:dyDescent="0.25">
      <c r="P6061" s="220"/>
      <c r="Q6061" s="366"/>
    </row>
    <row r="6062" spans="16:17" x14ac:dyDescent="0.25">
      <c r="P6062" s="220"/>
      <c r="Q6062" s="366"/>
    </row>
    <row r="6063" spans="16:17" x14ac:dyDescent="0.25">
      <c r="P6063" s="220"/>
      <c r="Q6063" s="366"/>
    </row>
    <row r="6064" spans="16:17" x14ac:dyDescent="0.25">
      <c r="P6064" s="220"/>
      <c r="Q6064" s="366"/>
    </row>
    <row r="6065" spans="16:17" x14ac:dyDescent="0.25">
      <c r="P6065" s="220"/>
      <c r="Q6065" s="366"/>
    </row>
    <row r="6066" spans="16:17" x14ac:dyDescent="0.25">
      <c r="P6066" s="220"/>
      <c r="Q6066" s="366"/>
    </row>
    <row r="6067" spans="16:17" x14ac:dyDescent="0.25">
      <c r="P6067" s="220"/>
      <c r="Q6067" s="366"/>
    </row>
    <row r="6068" spans="16:17" x14ac:dyDescent="0.25">
      <c r="P6068" s="220"/>
      <c r="Q6068" s="366"/>
    </row>
    <row r="6069" spans="16:17" x14ac:dyDescent="0.25">
      <c r="P6069" s="220"/>
      <c r="Q6069" s="366"/>
    </row>
    <row r="6070" spans="16:17" x14ac:dyDescent="0.25">
      <c r="P6070" s="220"/>
      <c r="Q6070" s="366"/>
    </row>
    <row r="6071" spans="16:17" x14ac:dyDescent="0.25">
      <c r="P6071" s="220"/>
      <c r="Q6071" s="366"/>
    </row>
    <row r="6072" spans="16:17" x14ac:dyDescent="0.25">
      <c r="P6072" s="220"/>
      <c r="Q6072" s="366"/>
    </row>
    <row r="6073" spans="16:17" x14ac:dyDescent="0.25">
      <c r="P6073" s="220"/>
      <c r="Q6073" s="366"/>
    </row>
    <row r="6074" spans="16:17" x14ac:dyDescent="0.25">
      <c r="P6074" s="220"/>
      <c r="Q6074" s="366"/>
    </row>
    <row r="6075" spans="16:17" x14ac:dyDescent="0.25">
      <c r="P6075" s="220"/>
      <c r="Q6075" s="366"/>
    </row>
    <row r="6076" spans="16:17" x14ac:dyDescent="0.25">
      <c r="P6076" s="220"/>
      <c r="Q6076" s="366"/>
    </row>
    <row r="6077" spans="16:17" x14ac:dyDescent="0.25">
      <c r="P6077" s="220"/>
      <c r="Q6077" s="366"/>
    </row>
    <row r="6078" spans="16:17" x14ac:dyDescent="0.25">
      <c r="P6078" s="220"/>
      <c r="Q6078" s="366"/>
    </row>
    <row r="6079" spans="16:17" x14ac:dyDescent="0.25">
      <c r="P6079" s="220"/>
      <c r="Q6079" s="366"/>
    </row>
    <row r="6080" spans="16:17" x14ac:dyDescent="0.25">
      <c r="P6080" s="220"/>
      <c r="Q6080" s="366"/>
    </row>
    <row r="6081" spans="16:17" x14ac:dyDescent="0.25">
      <c r="P6081" s="220"/>
      <c r="Q6081" s="366"/>
    </row>
    <row r="6082" spans="16:17" x14ac:dyDescent="0.25">
      <c r="P6082" s="220"/>
      <c r="Q6082" s="366"/>
    </row>
    <row r="6083" spans="16:17" x14ac:dyDescent="0.25">
      <c r="P6083" s="220"/>
      <c r="Q6083" s="366"/>
    </row>
    <row r="6084" spans="16:17" x14ac:dyDescent="0.25">
      <c r="P6084" s="220"/>
      <c r="Q6084" s="366"/>
    </row>
    <row r="6085" spans="16:17" x14ac:dyDescent="0.25">
      <c r="P6085" s="220"/>
      <c r="Q6085" s="366"/>
    </row>
    <row r="6086" spans="16:17" x14ac:dyDescent="0.25">
      <c r="P6086" s="220"/>
      <c r="Q6086" s="366"/>
    </row>
    <row r="6087" spans="16:17" x14ac:dyDescent="0.25">
      <c r="P6087" s="220"/>
      <c r="Q6087" s="366"/>
    </row>
    <row r="6088" spans="16:17" x14ac:dyDescent="0.25">
      <c r="P6088" s="220"/>
      <c r="Q6088" s="366"/>
    </row>
    <row r="6089" spans="16:17" x14ac:dyDescent="0.25">
      <c r="P6089" s="220"/>
      <c r="Q6089" s="366"/>
    </row>
    <row r="6090" spans="16:17" x14ac:dyDescent="0.25">
      <c r="P6090" s="220"/>
      <c r="Q6090" s="366"/>
    </row>
    <row r="6091" spans="16:17" x14ac:dyDescent="0.25">
      <c r="P6091" s="220"/>
      <c r="Q6091" s="366"/>
    </row>
    <row r="6092" spans="16:17" x14ac:dyDescent="0.25">
      <c r="P6092" s="220"/>
      <c r="Q6092" s="366"/>
    </row>
    <row r="6093" spans="16:17" x14ac:dyDescent="0.25">
      <c r="P6093" s="220"/>
      <c r="Q6093" s="366"/>
    </row>
    <row r="6094" spans="16:17" x14ac:dyDescent="0.25">
      <c r="P6094" s="220"/>
      <c r="Q6094" s="366"/>
    </row>
    <row r="6095" spans="16:17" x14ac:dyDescent="0.25">
      <c r="P6095" s="220"/>
      <c r="Q6095" s="366"/>
    </row>
    <row r="6096" spans="16:17" x14ac:dyDescent="0.25">
      <c r="P6096" s="220"/>
      <c r="Q6096" s="366"/>
    </row>
    <row r="6097" spans="16:17" x14ac:dyDescent="0.25">
      <c r="P6097" s="220"/>
      <c r="Q6097" s="366"/>
    </row>
    <row r="6098" spans="16:17" x14ac:dyDescent="0.25">
      <c r="P6098" s="220"/>
      <c r="Q6098" s="366"/>
    </row>
    <row r="6099" spans="16:17" x14ac:dyDescent="0.25">
      <c r="P6099" s="220"/>
      <c r="Q6099" s="366"/>
    </row>
    <row r="6100" spans="16:17" x14ac:dyDescent="0.25">
      <c r="P6100" s="220"/>
      <c r="Q6100" s="366"/>
    </row>
    <row r="6101" spans="16:17" x14ac:dyDescent="0.25">
      <c r="P6101" s="220"/>
      <c r="Q6101" s="366"/>
    </row>
    <row r="6102" spans="16:17" x14ac:dyDescent="0.25">
      <c r="P6102" s="220"/>
      <c r="Q6102" s="366"/>
    </row>
    <row r="6103" spans="16:17" x14ac:dyDescent="0.25">
      <c r="P6103" s="220"/>
      <c r="Q6103" s="366"/>
    </row>
    <row r="6104" spans="16:17" x14ac:dyDescent="0.25">
      <c r="P6104" s="220"/>
      <c r="Q6104" s="366"/>
    </row>
    <row r="6105" spans="16:17" x14ac:dyDescent="0.25">
      <c r="P6105" s="220"/>
      <c r="Q6105" s="366"/>
    </row>
    <row r="6106" spans="16:17" x14ac:dyDescent="0.25">
      <c r="P6106" s="220"/>
      <c r="Q6106" s="366"/>
    </row>
    <row r="6107" spans="16:17" x14ac:dyDescent="0.25">
      <c r="P6107" s="220"/>
      <c r="Q6107" s="366"/>
    </row>
    <row r="6108" spans="16:17" x14ac:dyDescent="0.25">
      <c r="P6108" s="220"/>
      <c r="Q6108" s="366"/>
    </row>
    <row r="6109" spans="16:17" x14ac:dyDescent="0.25">
      <c r="P6109" s="220"/>
      <c r="Q6109" s="366"/>
    </row>
    <row r="6110" spans="16:17" x14ac:dyDescent="0.25">
      <c r="P6110" s="220"/>
      <c r="Q6110" s="366"/>
    </row>
    <row r="6111" spans="16:17" x14ac:dyDescent="0.25">
      <c r="P6111" s="220"/>
      <c r="Q6111" s="366"/>
    </row>
    <row r="6112" spans="16:17" x14ac:dyDescent="0.25">
      <c r="P6112" s="220"/>
      <c r="Q6112" s="366"/>
    </row>
    <row r="6113" spans="16:17" x14ac:dyDescent="0.25">
      <c r="P6113" s="220"/>
      <c r="Q6113" s="366"/>
    </row>
    <row r="6114" spans="16:17" x14ac:dyDescent="0.25">
      <c r="P6114" s="220"/>
      <c r="Q6114" s="366"/>
    </row>
    <row r="6115" spans="16:17" x14ac:dyDescent="0.25">
      <c r="P6115" s="220"/>
      <c r="Q6115" s="366"/>
    </row>
    <row r="6116" spans="16:17" x14ac:dyDescent="0.25">
      <c r="P6116" s="220"/>
      <c r="Q6116" s="366"/>
    </row>
    <row r="6117" spans="16:17" x14ac:dyDescent="0.25">
      <c r="P6117" s="220"/>
      <c r="Q6117" s="366"/>
    </row>
    <row r="6118" spans="16:17" x14ac:dyDescent="0.25">
      <c r="P6118" s="220"/>
      <c r="Q6118" s="366"/>
    </row>
    <row r="6119" spans="16:17" x14ac:dyDescent="0.25">
      <c r="P6119" s="220"/>
      <c r="Q6119" s="366"/>
    </row>
    <row r="6120" spans="16:17" x14ac:dyDescent="0.25">
      <c r="P6120" s="220"/>
      <c r="Q6120" s="366"/>
    </row>
    <row r="6121" spans="16:17" x14ac:dyDescent="0.25">
      <c r="P6121" s="220"/>
      <c r="Q6121" s="366"/>
    </row>
    <row r="6122" spans="16:17" x14ac:dyDescent="0.25">
      <c r="P6122" s="220"/>
      <c r="Q6122" s="366"/>
    </row>
    <row r="6123" spans="16:17" x14ac:dyDescent="0.25">
      <c r="P6123" s="220"/>
      <c r="Q6123" s="366"/>
    </row>
    <row r="6124" spans="16:17" x14ac:dyDescent="0.25">
      <c r="P6124" s="220"/>
      <c r="Q6124" s="366"/>
    </row>
    <row r="6125" spans="16:17" x14ac:dyDescent="0.25">
      <c r="P6125" s="220"/>
      <c r="Q6125" s="366"/>
    </row>
    <row r="6126" spans="16:17" x14ac:dyDescent="0.25">
      <c r="P6126" s="220"/>
      <c r="Q6126" s="366"/>
    </row>
    <row r="6127" spans="16:17" x14ac:dyDescent="0.25">
      <c r="P6127" s="220"/>
      <c r="Q6127" s="366"/>
    </row>
    <row r="6128" spans="16:17" x14ac:dyDescent="0.25">
      <c r="P6128" s="220"/>
      <c r="Q6128" s="366"/>
    </row>
    <row r="6129" spans="16:17" x14ac:dyDescent="0.25">
      <c r="P6129" s="220"/>
      <c r="Q6129" s="366"/>
    </row>
    <row r="6130" spans="16:17" x14ac:dyDescent="0.25">
      <c r="P6130" s="220"/>
      <c r="Q6130" s="366"/>
    </row>
    <row r="6131" spans="16:17" x14ac:dyDescent="0.25">
      <c r="P6131" s="220"/>
      <c r="Q6131" s="366"/>
    </row>
    <row r="6132" spans="16:17" x14ac:dyDescent="0.25">
      <c r="P6132" s="220"/>
      <c r="Q6132" s="366"/>
    </row>
    <row r="6133" spans="16:17" x14ac:dyDescent="0.25">
      <c r="P6133" s="220"/>
      <c r="Q6133" s="366"/>
    </row>
    <row r="6134" spans="16:17" x14ac:dyDescent="0.25">
      <c r="P6134" s="220"/>
      <c r="Q6134" s="366"/>
    </row>
    <row r="6135" spans="16:17" x14ac:dyDescent="0.25">
      <c r="P6135" s="220"/>
      <c r="Q6135" s="366"/>
    </row>
    <row r="6136" spans="16:17" x14ac:dyDescent="0.25">
      <c r="P6136" s="220"/>
      <c r="Q6136" s="366"/>
    </row>
    <row r="6137" spans="16:17" x14ac:dyDescent="0.25">
      <c r="P6137" s="220"/>
      <c r="Q6137" s="366"/>
    </row>
    <row r="6138" spans="16:17" x14ac:dyDescent="0.25">
      <c r="P6138" s="220"/>
      <c r="Q6138" s="366"/>
    </row>
    <row r="6139" spans="16:17" x14ac:dyDescent="0.25">
      <c r="P6139" s="220"/>
      <c r="Q6139" s="366"/>
    </row>
    <row r="6140" spans="16:17" x14ac:dyDescent="0.25">
      <c r="P6140" s="220"/>
      <c r="Q6140" s="366"/>
    </row>
    <row r="6141" spans="16:17" x14ac:dyDescent="0.25">
      <c r="P6141" s="220"/>
      <c r="Q6141" s="366"/>
    </row>
    <row r="6142" spans="16:17" x14ac:dyDescent="0.25">
      <c r="P6142" s="220"/>
      <c r="Q6142" s="366"/>
    </row>
    <row r="6143" spans="16:17" x14ac:dyDescent="0.25">
      <c r="P6143" s="220"/>
      <c r="Q6143" s="366"/>
    </row>
    <row r="6144" spans="16:17" x14ac:dyDescent="0.25">
      <c r="P6144" s="220"/>
      <c r="Q6144" s="366"/>
    </row>
    <row r="6145" spans="16:17" x14ac:dyDescent="0.25">
      <c r="P6145" s="220"/>
      <c r="Q6145" s="366"/>
    </row>
    <row r="6146" spans="16:17" x14ac:dyDescent="0.25">
      <c r="P6146" s="220"/>
      <c r="Q6146" s="366"/>
    </row>
    <row r="6147" spans="16:17" x14ac:dyDescent="0.25">
      <c r="P6147" s="220"/>
      <c r="Q6147" s="366"/>
    </row>
    <row r="6148" spans="16:17" x14ac:dyDescent="0.25">
      <c r="P6148" s="220"/>
      <c r="Q6148" s="366"/>
    </row>
    <row r="6149" spans="16:17" x14ac:dyDescent="0.25">
      <c r="P6149" s="220"/>
      <c r="Q6149" s="366"/>
    </row>
    <row r="6150" spans="16:17" x14ac:dyDescent="0.25">
      <c r="P6150" s="220"/>
      <c r="Q6150" s="366"/>
    </row>
    <row r="6151" spans="16:17" x14ac:dyDescent="0.25">
      <c r="P6151" s="220"/>
      <c r="Q6151" s="366"/>
    </row>
    <row r="6152" spans="16:17" x14ac:dyDescent="0.25">
      <c r="P6152" s="220"/>
      <c r="Q6152" s="366"/>
    </row>
    <row r="6153" spans="16:17" x14ac:dyDescent="0.25">
      <c r="P6153" s="220"/>
      <c r="Q6153" s="366"/>
    </row>
    <row r="6154" spans="16:17" x14ac:dyDescent="0.25">
      <c r="P6154" s="220"/>
      <c r="Q6154" s="366"/>
    </row>
    <row r="6155" spans="16:17" x14ac:dyDescent="0.25">
      <c r="P6155" s="220"/>
      <c r="Q6155" s="366"/>
    </row>
    <row r="6156" spans="16:17" x14ac:dyDescent="0.25">
      <c r="P6156" s="220"/>
      <c r="Q6156" s="366"/>
    </row>
    <row r="6157" spans="16:17" x14ac:dyDescent="0.25">
      <c r="P6157" s="220"/>
      <c r="Q6157" s="366"/>
    </row>
    <row r="6158" spans="16:17" x14ac:dyDescent="0.25">
      <c r="P6158" s="220"/>
      <c r="Q6158" s="366"/>
    </row>
    <row r="6159" spans="16:17" x14ac:dyDescent="0.25">
      <c r="P6159" s="220"/>
      <c r="Q6159" s="366"/>
    </row>
    <row r="6160" spans="16:17" x14ac:dyDescent="0.25">
      <c r="P6160" s="220"/>
      <c r="Q6160" s="366"/>
    </row>
    <row r="6161" spans="16:17" x14ac:dyDescent="0.25">
      <c r="P6161" s="220"/>
      <c r="Q6161" s="366"/>
    </row>
    <row r="6162" spans="16:17" x14ac:dyDescent="0.25">
      <c r="P6162" s="220"/>
      <c r="Q6162" s="366"/>
    </row>
    <row r="6163" spans="16:17" x14ac:dyDescent="0.25">
      <c r="P6163" s="220"/>
      <c r="Q6163" s="366"/>
    </row>
    <row r="6164" spans="16:17" x14ac:dyDescent="0.25">
      <c r="P6164" s="220"/>
      <c r="Q6164" s="366"/>
    </row>
    <row r="6165" spans="16:17" x14ac:dyDescent="0.25">
      <c r="P6165" s="220"/>
      <c r="Q6165" s="366"/>
    </row>
    <row r="6166" spans="16:17" x14ac:dyDescent="0.25">
      <c r="P6166" s="220"/>
      <c r="Q6166" s="366"/>
    </row>
    <row r="6167" spans="16:17" x14ac:dyDescent="0.25">
      <c r="P6167" s="220"/>
      <c r="Q6167" s="366"/>
    </row>
    <row r="6168" spans="16:17" x14ac:dyDescent="0.25">
      <c r="P6168" s="220"/>
      <c r="Q6168" s="366"/>
    </row>
    <row r="6169" spans="16:17" x14ac:dyDescent="0.25">
      <c r="P6169" s="220"/>
      <c r="Q6169" s="366"/>
    </row>
    <row r="6170" spans="16:17" x14ac:dyDescent="0.25">
      <c r="P6170" s="220"/>
      <c r="Q6170" s="366"/>
    </row>
    <row r="6171" spans="16:17" x14ac:dyDescent="0.25">
      <c r="P6171" s="220"/>
      <c r="Q6171" s="366"/>
    </row>
    <row r="6172" spans="16:17" x14ac:dyDescent="0.25">
      <c r="P6172" s="220"/>
      <c r="Q6172" s="366"/>
    </row>
    <row r="6173" spans="16:17" x14ac:dyDescent="0.25">
      <c r="P6173" s="220"/>
      <c r="Q6173" s="366"/>
    </row>
    <row r="6174" spans="16:17" x14ac:dyDescent="0.25">
      <c r="P6174" s="220"/>
      <c r="Q6174" s="366"/>
    </row>
    <row r="6175" spans="16:17" x14ac:dyDescent="0.25">
      <c r="P6175" s="220"/>
      <c r="Q6175" s="366"/>
    </row>
    <row r="6176" spans="16:17" x14ac:dyDescent="0.25">
      <c r="P6176" s="220"/>
      <c r="Q6176" s="366"/>
    </row>
    <row r="6177" spans="16:17" x14ac:dyDescent="0.25">
      <c r="P6177" s="220"/>
      <c r="Q6177" s="366"/>
    </row>
    <row r="6178" spans="16:17" x14ac:dyDescent="0.25">
      <c r="P6178" s="220"/>
      <c r="Q6178" s="366"/>
    </row>
    <row r="6179" spans="16:17" x14ac:dyDescent="0.25">
      <c r="P6179" s="220"/>
      <c r="Q6179" s="366"/>
    </row>
    <row r="6180" spans="16:17" x14ac:dyDescent="0.25">
      <c r="P6180" s="220"/>
      <c r="Q6180" s="366"/>
    </row>
    <row r="6181" spans="16:17" x14ac:dyDescent="0.25">
      <c r="P6181" s="220"/>
      <c r="Q6181" s="366"/>
    </row>
    <row r="6182" spans="16:17" x14ac:dyDescent="0.25">
      <c r="P6182" s="220"/>
      <c r="Q6182" s="366"/>
    </row>
    <row r="6183" spans="16:17" x14ac:dyDescent="0.25">
      <c r="P6183" s="220"/>
      <c r="Q6183" s="366"/>
    </row>
    <row r="6184" spans="16:17" x14ac:dyDescent="0.25">
      <c r="P6184" s="220"/>
      <c r="Q6184" s="366"/>
    </row>
    <row r="6185" spans="16:17" x14ac:dyDescent="0.25">
      <c r="P6185" s="220"/>
      <c r="Q6185" s="366"/>
    </row>
    <row r="6186" spans="16:17" x14ac:dyDescent="0.25">
      <c r="P6186" s="220"/>
      <c r="Q6186" s="366"/>
    </row>
    <row r="6187" spans="16:17" x14ac:dyDescent="0.25">
      <c r="P6187" s="220"/>
      <c r="Q6187" s="366"/>
    </row>
    <row r="6188" spans="16:17" x14ac:dyDescent="0.25">
      <c r="P6188" s="220"/>
      <c r="Q6188" s="366"/>
    </row>
    <row r="6189" spans="16:17" x14ac:dyDescent="0.25">
      <c r="P6189" s="220"/>
      <c r="Q6189" s="366"/>
    </row>
    <row r="6190" spans="16:17" x14ac:dyDescent="0.25">
      <c r="P6190" s="220"/>
      <c r="Q6190" s="366"/>
    </row>
    <row r="6191" spans="16:17" x14ac:dyDescent="0.25">
      <c r="P6191" s="220"/>
      <c r="Q6191" s="366"/>
    </row>
    <row r="6192" spans="16:17" x14ac:dyDescent="0.25">
      <c r="P6192" s="220"/>
      <c r="Q6192" s="366"/>
    </row>
    <row r="6193" spans="16:17" x14ac:dyDescent="0.25">
      <c r="P6193" s="220"/>
      <c r="Q6193" s="366"/>
    </row>
    <row r="6194" spans="16:17" x14ac:dyDescent="0.25">
      <c r="P6194" s="220"/>
      <c r="Q6194" s="366"/>
    </row>
    <row r="6195" spans="16:17" x14ac:dyDescent="0.25">
      <c r="P6195" s="220"/>
      <c r="Q6195" s="366"/>
    </row>
    <row r="6196" spans="16:17" x14ac:dyDescent="0.25">
      <c r="P6196" s="220"/>
      <c r="Q6196" s="366"/>
    </row>
    <row r="6197" spans="16:17" x14ac:dyDescent="0.25">
      <c r="P6197" s="220"/>
      <c r="Q6197" s="366"/>
    </row>
    <row r="6198" spans="16:17" x14ac:dyDescent="0.25">
      <c r="P6198" s="220"/>
      <c r="Q6198" s="366"/>
    </row>
    <row r="6199" spans="16:17" x14ac:dyDescent="0.25">
      <c r="P6199" s="220"/>
      <c r="Q6199" s="366"/>
    </row>
    <row r="6200" spans="16:17" x14ac:dyDescent="0.25">
      <c r="P6200" s="220"/>
      <c r="Q6200" s="366"/>
    </row>
    <row r="6201" spans="16:17" x14ac:dyDescent="0.25">
      <c r="P6201" s="220"/>
      <c r="Q6201" s="366"/>
    </row>
    <row r="6202" spans="16:17" x14ac:dyDescent="0.25">
      <c r="P6202" s="220"/>
      <c r="Q6202" s="366"/>
    </row>
    <row r="6203" spans="16:17" x14ac:dyDescent="0.25">
      <c r="P6203" s="220"/>
      <c r="Q6203" s="366"/>
    </row>
    <row r="6204" spans="16:17" x14ac:dyDescent="0.25">
      <c r="P6204" s="220"/>
      <c r="Q6204" s="366"/>
    </row>
    <row r="6205" spans="16:17" x14ac:dyDescent="0.25">
      <c r="P6205" s="220"/>
      <c r="Q6205" s="366"/>
    </row>
    <row r="6206" spans="16:17" x14ac:dyDescent="0.25">
      <c r="P6206" s="220"/>
      <c r="Q6206" s="366"/>
    </row>
    <row r="6207" spans="16:17" x14ac:dyDescent="0.25">
      <c r="P6207" s="220"/>
      <c r="Q6207" s="366"/>
    </row>
    <row r="6208" spans="16:17" x14ac:dyDescent="0.25">
      <c r="P6208" s="220"/>
      <c r="Q6208" s="366"/>
    </row>
    <row r="6209" spans="16:17" x14ac:dyDescent="0.25">
      <c r="P6209" s="220"/>
      <c r="Q6209" s="366"/>
    </row>
    <row r="6210" spans="16:17" x14ac:dyDescent="0.25">
      <c r="P6210" s="220"/>
      <c r="Q6210" s="366"/>
    </row>
    <row r="6211" spans="16:17" x14ac:dyDescent="0.25">
      <c r="P6211" s="220"/>
      <c r="Q6211" s="366"/>
    </row>
    <row r="6212" spans="16:17" x14ac:dyDescent="0.25">
      <c r="P6212" s="220"/>
      <c r="Q6212" s="366"/>
    </row>
    <row r="6213" spans="16:17" x14ac:dyDescent="0.25">
      <c r="P6213" s="220"/>
      <c r="Q6213" s="366"/>
    </row>
    <row r="6214" spans="16:17" x14ac:dyDescent="0.25">
      <c r="P6214" s="220"/>
      <c r="Q6214" s="366"/>
    </row>
    <row r="6215" spans="16:17" x14ac:dyDescent="0.25">
      <c r="P6215" s="220"/>
      <c r="Q6215" s="366"/>
    </row>
    <row r="6216" spans="16:17" x14ac:dyDescent="0.25">
      <c r="P6216" s="220"/>
      <c r="Q6216" s="366"/>
    </row>
    <row r="6217" spans="16:17" x14ac:dyDescent="0.25">
      <c r="P6217" s="220"/>
      <c r="Q6217" s="366"/>
    </row>
    <row r="6218" spans="16:17" x14ac:dyDescent="0.25">
      <c r="P6218" s="220"/>
      <c r="Q6218" s="366"/>
    </row>
    <row r="6219" spans="16:17" x14ac:dyDescent="0.25">
      <c r="P6219" s="220"/>
      <c r="Q6219" s="366"/>
    </row>
    <row r="6220" spans="16:17" x14ac:dyDescent="0.25">
      <c r="P6220" s="220"/>
      <c r="Q6220" s="366"/>
    </row>
    <row r="6221" spans="16:17" x14ac:dyDescent="0.25">
      <c r="P6221" s="220"/>
      <c r="Q6221" s="366"/>
    </row>
    <row r="6222" spans="16:17" x14ac:dyDescent="0.25">
      <c r="P6222" s="220"/>
      <c r="Q6222" s="366"/>
    </row>
    <row r="6223" spans="16:17" x14ac:dyDescent="0.25">
      <c r="P6223" s="220"/>
      <c r="Q6223" s="366"/>
    </row>
    <row r="6224" spans="16:17" x14ac:dyDescent="0.25">
      <c r="P6224" s="220"/>
      <c r="Q6224" s="366"/>
    </row>
    <row r="6225" spans="16:17" x14ac:dyDescent="0.25">
      <c r="P6225" s="220"/>
      <c r="Q6225" s="366"/>
    </row>
    <row r="6226" spans="16:17" x14ac:dyDescent="0.25">
      <c r="P6226" s="220"/>
      <c r="Q6226" s="366"/>
    </row>
    <row r="6227" spans="16:17" x14ac:dyDescent="0.25">
      <c r="P6227" s="220"/>
      <c r="Q6227" s="366"/>
    </row>
    <row r="6228" spans="16:17" x14ac:dyDescent="0.25">
      <c r="P6228" s="220"/>
      <c r="Q6228" s="366"/>
    </row>
    <row r="6229" spans="16:17" x14ac:dyDescent="0.25">
      <c r="P6229" s="220"/>
      <c r="Q6229" s="366"/>
    </row>
    <row r="6230" spans="16:17" x14ac:dyDescent="0.25">
      <c r="P6230" s="220"/>
      <c r="Q6230" s="366"/>
    </row>
    <row r="6231" spans="16:17" x14ac:dyDescent="0.25">
      <c r="P6231" s="220"/>
      <c r="Q6231" s="366"/>
    </row>
    <row r="6232" spans="16:17" x14ac:dyDescent="0.25">
      <c r="P6232" s="220"/>
      <c r="Q6232" s="366"/>
    </row>
    <row r="6233" spans="16:17" x14ac:dyDescent="0.25">
      <c r="P6233" s="220"/>
      <c r="Q6233" s="366"/>
    </row>
    <row r="6234" spans="16:17" x14ac:dyDescent="0.25">
      <c r="P6234" s="220"/>
      <c r="Q6234" s="366"/>
    </row>
    <row r="6235" spans="16:17" x14ac:dyDescent="0.25">
      <c r="P6235" s="220"/>
      <c r="Q6235" s="366"/>
    </row>
    <row r="6236" spans="16:17" x14ac:dyDescent="0.25">
      <c r="P6236" s="220"/>
      <c r="Q6236" s="366"/>
    </row>
    <row r="6237" spans="16:17" x14ac:dyDescent="0.25">
      <c r="P6237" s="220"/>
      <c r="Q6237" s="366"/>
    </row>
    <row r="6238" spans="16:17" x14ac:dyDescent="0.25">
      <c r="P6238" s="220"/>
      <c r="Q6238" s="366"/>
    </row>
    <row r="6239" spans="16:17" x14ac:dyDescent="0.25">
      <c r="P6239" s="220"/>
      <c r="Q6239" s="366"/>
    </row>
    <row r="6240" spans="16:17" x14ac:dyDescent="0.25">
      <c r="P6240" s="220"/>
      <c r="Q6240" s="366"/>
    </row>
    <row r="6241" spans="16:17" x14ac:dyDescent="0.25">
      <c r="P6241" s="220"/>
      <c r="Q6241" s="366"/>
    </row>
    <row r="6242" spans="16:17" x14ac:dyDescent="0.25">
      <c r="P6242" s="220"/>
      <c r="Q6242" s="366"/>
    </row>
    <row r="6243" spans="16:17" x14ac:dyDescent="0.25">
      <c r="P6243" s="220"/>
      <c r="Q6243" s="366"/>
    </row>
    <row r="6244" spans="16:17" x14ac:dyDescent="0.25">
      <c r="P6244" s="220"/>
      <c r="Q6244" s="366"/>
    </row>
    <row r="6245" spans="16:17" x14ac:dyDescent="0.25">
      <c r="P6245" s="220"/>
      <c r="Q6245" s="366"/>
    </row>
    <row r="6246" spans="16:17" x14ac:dyDescent="0.25">
      <c r="P6246" s="220"/>
      <c r="Q6246" s="366"/>
    </row>
    <row r="6247" spans="16:17" x14ac:dyDescent="0.25">
      <c r="P6247" s="220"/>
      <c r="Q6247" s="366"/>
    </row>
    <row r="6248" spans="16:17" x14ac:dyDescent="0.25">
      <c r="P6248" s="220"/>
      <c r="Q6248" s="366"/>
    </row>
    <row r="6249" spans="16:17" x14ac:dyDescent="0.25">
      <c r="P6249" s="220"/>
      <c r="Q6249" s="366"/>
    </row>
    <row r="6250" spans="16:17" x14ac:dyDescent="0.25">
      <c r="P6250" s="220"/>
      <c r="Q6250" s="366"/>
    </row>
    <row r="6251" spans="16:17" x14ac:dyDescent="0.25">
      <c r="P6251" s="220"/>
      <c r="Q6251" s="366"/>
    </row>
    <row r="6252" spans="16:17" x14ac:dyDescent="0.25">
      <c r="P6252" s="220"/>
      <c r="Q6252" s="366"/>
    </row>
    <row r="6253" spans="16:17" x14ac:dyDescent="0.25">
      <c r="P6253" s="220"/>
      <c r="Q6253" s="366"/>
    </row>
    <row r="6254" spans="16:17" x14ac:dyDescent="0.25">
      <c r="P6254" s="220"/>
      <c r="Q6254" s="366"/>
    </row>
    <row r="6255" spans="16:17" x14ac:dyDescent="0.25">
      <c r="P6255" s="220"/>
      <c r="Q6255" s="366"/>
    </row>
    <row r="6256" spans="16:17" x14ac:dyDescent="0.25">
      <c r="P6256" s="220"/>
      <c r="Q6256" s="366"/>
    </row>
    <row r="6257" spans="16:17" x14ac:dyDescent="0.25">
      <c r="P6257" s="220"/>
      <c r="Q6257" s="366"/>
    </row>
    <row r="6258" spans="16:17" x14ac:dyDescent="0.25">
      <c r="P6258" s="220"/>
      <c r="Q6258" s="366"/>
    </row>
    <row r="6259" spans="16:17" x14ac:dyDescent="0.25">
      <c r="P6259" s="220"/>
      <c r="Q6259" s="366"/>
    </row>
    <row r="6260" spans="16:17" x14ac:dyDescent="0.25">
      <c r="P6260" s="220"/>
      <c r="Q6260" s="366"/>
    </row>
    <row r="6261" spans="16:17" x14ac:dyDescent="0.25">
      <c r="P6261" s="220"/>
      <c r="Q6261" s="366"/>
    </row>
    <row r="6262" spans="16:17" x14ac:dyDescent="0.25">
      <c r="P6262" s="220"/>
      <c r="Q6262" s="366"/>
    </row>
    <row r="6263" spans="16:17" x14ac:dyDescent="0.25">
      <c r="P6263" s="220"/>
      <c r="Q6263" s="366"/>
    </row>
    <row r="6264" spans="16:17" x14ac:dyDescent="0.25">
      <c r="P6264" s="220"/>
      <c r="Q6264" s="366"/>
    </row>
    <row r="6265" spans="16:17" x14ac:dyDescent="0.25">
      <c r="P6265" s="220"/>
      <c r="Q6265" s="366"/>
    </row>
    <row r="6266" spans="16:17" x14ac:dyDescent="0.25">
      <c r="P6266" s="220"/>
      <c r="Q6266" s="366"/>
    </row>
    <row r="6267" spans="16:17" x14ac:dyDescent="0.25">
      <c r="P6267" s="220"/>
      <c r="Q6267" s="366"/>
    </row>
    <row r="6268" spans="16:17" x14ac:dyDescent="0.25">
      <c r="P6268" s="220"/>
      <c r="Q6268" s="366"/>
    </row>
    <row r="6269" spans="16:17" x14ac:dyDescent="0.25">
      <c r="P6269" s="220"/>
      <c r="Q6269" s="366"/>
    </row>
    <row r="6270" spans="16:17" x14ac:dyDescent="0.25">
      <c r="P6270" s="220"/>
      <c r="Q6270" s="366"/>
    </row>
    <row r="6271" spans="16:17" x14ac:dyDescent="0.25">
      <c r="P6271" s="220"/>
      <c r="Q6271" s="366"/>
    </row>
    <row r="6272" spans="16:17" x14ac:dyDescent="0.25">
      <c r="P6272" s="220"/>
      <c r="Q6272" s="366"/>
    </row>
    <row r="6273" spans="16:17" x14ac:dyDescent="0.25">
      <c r="P6273" s="220"/>
      <c r="Q6273" s="366"/>
    </row>
    <row r="6274" spans="16:17" x14ac:dyDescent="0.25">
      <c r="P6274" s="220"/>
      <c r="Q6274" s="366"/>
    </row>
    <row r="6275" spans="16:17" x14ac:dyDescent="0.25">
      <c r="P6275" s="220"/>
      <c r="Q6275" s="366"/>
    </row>
    <row r="6276" spans="16:17" x14ac:dyDescent="0.25">
      <c r="P6276" s="220"/>
      <c r="Q6276" s="366"/>
    </row>
    <row r="6277" spans="16:17" x14ac:dyDescent="0.25">
      <c r="P6277" s="220"/>
      <c r="Q6277" s="366"/>
    </row>
    <row r="6278" spans="16:17" x14ac:dyDescent="0.25">
      <c r="P6278" s="220"/>
      <c r="Q6278" s="366"/>
    </row>
    <row r="6279" spans="16:17" x14ac:dyDescent="0.25">
      <c r="P6279" s="220"/>
      <c r="Q6279" s="366"/>
    </row>
    <row r="6280" spans="16:17" x14ac:dyDescent="0.25">
      <c r="P6280" s="220"/>
      <c r="Q6280" s="366"/>
    </row>
    <row r="6281" spans="16:17" x14ac:dyDescent="0.25">
      <c r="P6281" s="220"/>
      <c r="Q6281" s="366"/>
    </row>
    <row r="6282" spans="16:17" x14ac:dyDescent="0.25">
      <c r="P6282" s="220"/>
      <c r="Q6282" s="366"/>
    </row>
    <row r="6283" spans="16:17" x14ac:dyDescent="0.25">
      <c r="P6283" s="220"/>
      <c r="Q6283" s="366"/>
    </row>
    <row r="6284" spans="16:17" x14ac:dyDescent="0.25">
      <c r="P6284" s="220"/>
      <c r="Q6284" s="366"/>
    </row>
    <row r="6285" spans="16:17" x14ac:dyDescent="0.25">
      <c r="P6285" s="220"/>
      <c r="Q6285" s="366"/>
    </row>
    <row r="6286" spans="16:17" x14ac:dyDescent="0.25">
      <c r="P6286" s="220"/>
      <c r="Q6286" s="366"/>
    </row>
    <row r="6287" spans="16:17" x14ac:dyDescent="0.25">
      <c r="P6287" s="220"/>
      <c r="Q6287" s="366"/>
    </row>
    <row r="6288" spans="16:17" x14ac:dyDescent="0.25">
      <c r="P6288" s="220"/>
      <c r="Q6288" s="366"/>
    </row>
    <row r="6289" spans="16:17" x14ac:dyDescent="0.25">
      <c r="P6289" s="220"/>
      <c r="Q6289" s="366"/>
    </row>
    <row r="6290" spans="16:17" x14ac:dyDescent="0.25">
      <c r="P6290" s="220"/>
      <c r="Q6290" s="366"/>
    </row>
    <row r="6291" spans="16:17" x14ac:dyDescent="0.25">
      <c r="P6291" s="220"/>
      <c r="Q6291" s="366"/>
    </row>
    <row r="6292" spans="16:17" x14ac:dyDescent="0.25">
      <c r="P6292" s="220"/>
      <c r="Q6292" s="366"/>
    </row>
    <row r="6293" spans="16:17" x14ac:dyDescent="0.25">
      <c r="P6293" s="220"/>
      <c r="Q6293" s="366"/>
    </row>
    <row r="6294" spans="16:17" x14ac:dyDescent="0.25">
      <c r="P6294" s="220"/>
      <c r="Q6294" s="366"/>
    </row>
    <row r="6295" spans="16:17" x14ac:dyDescent="0.25">
      <c r="P6295" s="220"/>
      <c r="Q6295" s="366"/>
    </row>
    <row r="6296" spans="16:17" x14ac:dyDescent="0.25">
      <c r="P6296" s="220"/>
      <c r="Q6296" s="366"/>
    </row>
    <row r="6297" spans="16:17" x14ac:dyDescent="0.25">
      <c r="P6297" s="220"/>
      <c r="Q6297" s="366"/>
    </row>
    <row r="6298" spans="16:17" x14ac:dyDescent="0.25">
      <c r="P6298" s="220"/>
      <c r="Q6298" s="366"/>
    </row>
    <row r="6299" spans="16:17" x14ac:dyDescent="0.25">
      <c r="P6299" s="220"/>
      <c r="Q6299" s="366"/>
    </row>
    <row r="6300" spans="16:17" x14ac:dyDescent="0.25">
      <c r="P6300" s="220"/>
      <c r="Q6300" s="366"/>
    </row>
    <row r="6301" spans="16:17" x14ac:dyDescent="0.25">
      <c r="P6301" s="220"/>
      <c r="Q6301" s="366"/>
    </row>
    <row r="6302" spans="16:17" x14ac:dyDescent="0.25">
      <c r="P6302" s="220"/>
      <c r="Q6302" s="366"/>
    </row>
    <row r="6303" spans="16:17" x14ac:dyDescent="0.25">
      <c r="P6303" s="220"/>
      <c r="Q6303" s="366"/>
    </row>
    <row r="6304" spans="16:17" x14ac:dyDescent="0.25">
      <c r="P6304" s="220"/>
      <c r="Q6304" s="366"/>
    </row>
    <row r="6305" spans="16:17" x14ac:dyDescent="0.25">
      <c r="P6305" s="220"/>
      <c r="Q6305" s="366"/>
    </row>
    <row r="6306" spans="16:17" x14ac:dyDescent="0.25">
      <c r="P6306" s="220"/>
      <c r="Q6306" s="366"/>
    </row>
    <row r="6307" spans="16:17" x14ac:dyDescent="0.25">
      <c r="P6307" s="220"/>
      <c r="Q6307" s="366"/>
    </row>
    <row r="6308" spans="16:17" x14ac:dyDescent="0.25">
      <c r="P6308" s="220"/>
      <c r="Q6308" s="366"/>
    </row>
    <row r="6309" spans="16:17" x14ac:dyDescent="0.25">
      <c r="P6309" s="220"/>
      <c r="Q6309" s="366"/>
    </row>
    <row r="6310" spans="16:17" x14ac:dyDescent="0.25">
      <c r="P6310" s="220"/>
      <c r="Q6310" s="366"/>
    </row>
    <row r="6311" spans="16:17" x14ac:dyDescent="0.25">
      <c r="P6311" s="220"/>
      <c r="Q6311" s="366"/>
    </row>
    <row r="6312" spans="16:17" x14ac:dyDescent="0.25">
      <c r="P6312" s="220"/>
      <c r="Q6312" s="366"/>
    </row>
    <row r="6313" spans="16:17" x14ac:dyDescent="0.25">
      <c r="P6313" s="220"/>
      <c r="Q6313" s="366"/>
    </row>
    <row r="6314" spans="16:17" x14ac:dyDescent="0.25">
      <c r="P6314" s="220"/>
      <c r="Q6314" s="366"/>
    </row>
    <row r="6315" spans="16:17" x14ac:dyDescent="0.25">
      <c r="P6315" s="220"/>
      <c r="Q6315" s="366"/>
    </row>
    <row r="6316" spans="16:17" x14ac:dyDescent="0.25">
      <c r="P6316" s="220"/>
      <c r="Q6316" s="366"/>
    </row>
    <row r="6317" spans="16:17" x14ac:dyDescent="0.25">
      <c r="P6317" s="220"/>
      <c r="Q6317" s="366"/>
    </row>
    <row r="6318" spans="16:17" x14ac:dyDescent="0.25">
      <c r="P6318" s="220"/>
      <c r="Q6318" s="366"/>
    </row>
    <row r="6319" spans="16:17" x14ac:dyDescent="0.25">
      <c r="P6319" s="220"/>
      <c r="Q6319" s="366"/>
    </row>
    <row r="6320" spans="16:17" x14ac:dyDescent="0.25">
      <c r="P6320" s="220"/>
      <c r="Q6320" s="366"/>
    </row>
    <row r="6321" spans="16:17" x14ac:dyDescent="0.25">
      <c r="P6321" s="220"/>
      <c r="Q6321" s="366"/>
    </row>
    <row r="6322" spans="16:17" x14ac:dyDescent="0.25">
      <c r="P6322" s="220"/>
      <c r="Q6322" s="366"/>
    </row>
    <row r="6323" spans="16:17" x14ac:dyDescent="0.25">
      <c r="P6323" s="220"/>
      <c r="Q6323" s="366"/>
    </row>
    <row r="6324" spans="16:17" x14ac:dyDescent="0.25">
      <c r="P6324" s="220"/>
      <c r="Q6324" s="366"/>
    </row>
    <row r="6325" spans="16:17" x14ac:dyDescent="0.25">
      <c r="P6325" s="220"/>
      <c r="Q6325" s="366"/>
    </row>
    <row r="6326" spans="16:17" x14ac:dyDescent="0.25">
      <c r="P6326" s="220"/>
      <c r="Q6326" s="366"/>
    </row>
    <row r="6327" spans="16:17" x14ac:dyDescent="0.25">
      <c r="P6327" s="220"/>
      <c r="Q6327" s="366"/>
    </row>
    <row r="6328" spans="16:17" x14ac:dyDescent="0.25">
      <c r="P6328" s="220"/>
      <c r="Q6328" s="366"/>
    </row>
    <row r="6329" spans="16:17" x14ac:dyDescent="0.25">
      <c r="P6329" s="220"/>
      <c r="Q6329" s="366"/>
    </row>
    <row r="6330" spans="16:17" x14ac:dyDescent="0.25">
      <c r="P6330" s="220"/>
      <c r="Q6330" s="366"/>
    </row>
    <row r="6331" spans="16:17" x14ac:dyDescent="0.25">
      <c r="P6331" s="220"/>
      <c r="Q6331" s="366"/>
    </row>
    <row r="6332" spans="16:17" x14ac:dyDescent="0.25">
      <c r="P6332" s="220"/>
      <c r="Q6332" s="366"/>
    </row>
    <row r="6333" spans="16:17" x14ac:dyDescent="0.25">
      <c r="P6333" s="220"/>
      <c r="Q6333" s="366"/>
    </row>
    <row r="6334" spans="16:17" x14ac:dyDescent="0.25">
      <c r="P6334" s="220"/>
      <c r="Q6334" s="366"/>
    </row>
    <row r="6335" spans="16:17" x14ac:dyDescent="0.25">
      <c r="P6335" s="220"/>
      <c r="Q6335" s="366"/>
    </row>
    <row r="6336" spans="16:17" x14ac:dyDescent="0.25">
      <c r="P6336" s="220"/>
      <c r="Q6336" s="366"/>
    </row>
    <row r="6337" spans="16:17" x14ac:dyDescent="0.25">
      <c r="P6337" s="220"/>
      <c r="Q6337" s="366"/>
    </row>
    <row r="6338" spans="16:17" x14ac:dyDescent="0.25">
      <c r="P6338" s="220"/>
      <c r="Q6338" s="366"/>
    </row>
    <row r="6339" spans="16:17" x14ac:dyDescent="0.25">
      <c r="P6339" s="220"/>
      <c r="Q6339" s="366"/>
    </row>
    <row r="6340" spans="16:17" x14ac:dyDescent="0.25">
      <c r="P6340" s="220"/>
      <c r="Q6340" s="366"/>
    </row>
    <row r="6341" spans="16:17" x14ac:dyDescent="0.25">
      <c r="P6341" s="220"/>
      <c r="Q6341" s="366"/>
    </row>
    <row r="6342" spans="16:17" x14ac:dyDescent="0.25">
      <c r="P6342" s="220"/>
      <c r="Q6342" s="366"/>
    </row>
    <row r="6343" spans="16:17" x14ac:dyDescent="0.25">
      <c r="P6343" s="220"/>
      <c r="Q6343" s="366"/>
    </row>
    <row r="6344" spans="16:17" x14ac:dyDescent="0.25">
      <c r="P6344" s="220"/>
      <c r="Q6344" s="366"/>
    </row>
    <row r="6345" spans="16:17" x14ac:dyDescent="0.25">
      <c r="P6345" s="220"/>
      <c r="Q6345" s="366"/>
    </row>
    <row r="6346" spans="16:17" x14ac:dyDescent="0.25">
      <c r="P6346" s="220"/>
      <c r="Q6346" s="366"/>
    </row>
    <row r="6347" spans="16:17" x14ac:dyDescent="0.25">
      <c r="P6347" s="220"/>
      <c r="Q6347" s="366"/>
    </row>
    <row r="6348" spans="16:17" x14ac:dyDescent="0.25">
      <c r="P6348" s="220"/>
      <c r="Q6348" s="366"/>
    </row>
    <row r="6349" spans="16:17" x14ac:dyDescent="0.25">
      <c r="P6349" s="220"/>
      <c r="Q6349" s="366"/>
    </row>
    <row r="6350" spans="16:17" x14ac:dyDescent="0.25">
      <c r="P6350" s="220"/>
      <c r="Q6350" s="366"/>
    </row>
    <row r="6351" spans="16:17" x14ac:dyDescent="0.25">
      <c r="P6351" s="220"/>
      <c r="Q6351" s="366"/>
    </row>
    <row r="6352" spans="16:17" x14ac:dyDescent="0.25">
      <c r="P6352" s="220"/>
      <c r="Q6352" s="366"/>
    </row>
    <row r="6353" spans="16:17" x14ac:dyDescent="0.25">
      <c r="P6353" s="220"/>
      <c r="Q6353" s="366"/>
    </row>
    <row r="6354" spans="16:17" x14ac:dyDescent="0.25">
      <c r="P6354" s="220"/>
      <c r="Q6354" s="366"/>
    </row>
    <row r="6355" spans="16:17" x14ac:dyDescent="0.25">
      <c r="P6355" s="220"/>
      <c r="Q6355" s="366"/>
    </row>
    <row r="6356" spans="16:17" x14ac:dyDescent="0.25">
      <c r="P6356" s="220"/>
      <c r="Q6356" s="366"/>
    </row>
    <row r="6357" spans="16:17" x14ac:dyDescent="0.25">
      <c r="P6357" s="220"/>
      <c r="Q6357" s="366"/>
    </row>
    <row r="6358" spans="16:17" x14ac:dyDescent="0.25">
      <c r="P6358" s="220"/>
      <c r="Q6358" s="366"/>
    </row>
    <row r="6359" spans="16:17" x14ac:dyDescent="0.25">
      <c r="P6359" s="220"/>
      <c r="Q6359" s="366"/>
    </row>
    <row r="6360" spans="16:17" x14ac:dyDescent="0.25">
      <c r="P6360" s="220"/>
      <c r="Q6360" s="366"/>
    </row>
    <row r="6361" spans="16:17" x14ac:dyDescent="0.25">
      <c r="P6361" s="220"/>
      <c r="Q6361" s="366"/>
    </row>
    <row r="6362" spans="16:17" x14ac:dyDescent="0.25">
      <c r="P6362" s="220"/>
      <c r="Q6362" s="366"/>
    </row>
    <row r="6363" spans="16:17" x14ac:dyDescent="0.25">
      <c r="P6363" s="220"/>
      <c r="Q6363" s="366"/>
    </row>
    <row r="6364" spans="16:17" x14ac:dyDescent="0.25">
      <c r="P6364" s="220"/>
      <c r="Q6364" s="366"/>
    </row>
    <row r="6365" spans="16:17" x14ac:dyDescent="0.25">
      <c r="P6365" s="220"/>
      <c r="Q6365" s="366"/>
    </row>
    <row r="6366" spans="16:17" x14ac:dyDescent="0.25">
      <c r="P6366" s="220"/>
      <c r="Q6366" s="366"/>
    </row>
    <row r="6367" spans="16:17" x14ac:dyDescent="0.25">
      <c r="P6367" s="220"/>
      <c r="Q6367" s="366"/>
    </row>
    <row r="6368" spans="16:17" x14ac:dyDescent="0.25">
      <c r="P6368" s="220"/>
      <c r="Q6368" s="366"/>
    </row>
    <row r="6369" spans="16:17" x14ac:dyDescent="0.25">
      <c r="P6369" s="220"/>
      <c r="Q6369" s="366"/>
    </row>
    <row r="6370" spans="16:17" x14ac:dyDescent="0.25">
      <c r="P6370" s="220"/>
      <c r="Q6370" s="366"/>
    </row>
    <row r="6371" spans="16:17" x14ac:dyDescent="0.25">
      <c r="P6371" s="220"/>
      <c r="Q6371" s="366"/>
    </row>
    <row r="6372" spans="16:17" x14ac:dyDescent="0.25">
      <c r="P6372" s="220"/>
      <c r="Q6372" s="366"/>
    </row>
    <row r="6373" spans="16:17" x14ac:dyDescent="0.25">
      <c r="P6373" s="220"/>
      <c r="Q6373" s="366"/>
    </row>
    <row r="6374" spans="16:17" x14ac:dyDescent="0.25">
      <c r="P6374" s="220"/>
      <c r="Q6374" s="366"/>
    </row>
    <row r="6375" spans="16:17" x14ac:dyDescent="0.25">
      <c r="P6375" s="220"/>
      <c r="Q6375" s="366"/>
    </row>
    <row r="6376" spans="16:17" x14ac:dyDescent="0.25">
      <c r="P6376" s="220"/>
      <c r="Q6376" s="366"/>
    </row>
    <row r="6377" spans="16:17" x14ac:dyDescent="0.25">
      <c r="P6377" s="220"/>
      <c r="Q6377" s="366"/>
    </row>
    <row r="6378" spans="16:17" x14ac:dyDescent="0.25">
      <c r="P6378" s="220"/>
      <c r="Q6378" s="366"/>
    </row>
    <row r="6379" spans="16:17" x14ac:dyDescent="0.25">
      <c r="P6379" s="220"/>
      <c r="Q6379" s="366"/>
    </row>
    <row r="6380" spans="16:17" x14ac:dyDescent="0.25">
      <c r="P6380" s="220"/>
      <c r="Q6380" s="366"/>
    </row>
    <row r="6381" spans="16:17" x14ac:dyDescent="0.25">
      <c r="P6381" s="220"/>
      <c r="Q6381" s="366"/>
    </row>
    <row r="6382" spans="16:17" x14ac:dyDescent="0.25">
      <c r="P6382" s="220"/>
      <c r="Q6382" s="366"/>
    </row>
    <row r="6383" spans="16:17" x14ac:dyDescent="0.25">
      <c r="P6383" s="220"/>
      <c r="Q6383" s="366"/>
    </row>
    <row r="6384" spans="16:17" x14ac:dyDescent="0.25">
      <c r="P6384" s="220"/>
      <c r="Q6384" s="366"/>
    </row>
    <row r="6385" spans="16:17" x14ac:dyDescent="0.25">
      <c r="P6385" s="220"/>
      <c r="Q6385" s="366"/>
    </row>
    <row r="6386" spans="16:17" x14ac:dyDescent="0.25">
      <c r="P6386" s="220"/>
      <c r="Q6386" s="366"/>
    </row>
    <row r="6387" spans="16:17" x14ac:dyDescent="0.25">
      <c r="P6387" s="220"/>
      <c r="Q6387" s="366"/>
    </row>
    <row r="6388" spans="16:17" x14ac:dyDescent="0.25">
      <c r="P6388" s="220"/>
      <c r="Q6388" s="366"/>
    </row>
    <row r="6389" spans="16:17" x14ac:dyDescent="0.25">
      <c r="P6389" s="220"/>
      <c r="Q6389" s="366"/>
    </row>
    <row r="6390" spans="16:17" x14ac:dyDescent="0.25">
      <c r="P6390" s="220"/>
      <c r="Q6390" s="366"/>
    </row>
    <row r="6391" spans="16:17" x14ac:dyDescent="0.25">
      <c r="P6391" s="220"/>
      <c r="Q6391" s="366"/>
    </row>
    <row r="6392" spans="16:17" x14ac:dyDescent="0.25">
      <c r="P6392" s="220"/>
      <c r="Q6392" s="366"/>
    </row>
    <row r="6393" spans="16:17" x14ac:dyDescent="0.25">
      <c r="P6393" s="220"/>
      <c r="Q6393" s="366"/>
    </row>
    <row r="6394" spans="16:17" x14ac:dyDescent="0.25">
      <c r="P6394" s="220"/>
      <c r="Q6394" s="366"/>
    </row>
    <row r="6395" spans="16:17" x14ac:dyDescent="0.25">
      <c r="P6395" s="220"/>
      <c r="Q6395" s="366"/>
    </row>
    <row r="6396" spans="16:17" x14ac:dyDescent="0.25">
      <c r="P6396" s="220"/>
      <c r="Q6396" s="366"/>
    </row>
    <row r="6397" spans="16:17" x14ac:dyDescent="0.25">
      <c r="P6397" s="220"/>
      <c r="Q6397" s="366"/>
    </row>
    <row r="6398" spans="16:17" x14ac:dyDescent="0.25">
      <c r="P6398" s="220"/>
      <c r="Q6398" s="366"/>
    </row>
    <row r="6399" spans="16:17" x14ac:dyDescent="0.25">
      <c r="P6399" s="220"/>
      <c r="Q6399" s="366"/>
    </row>
    <row r="6400" spans="16:17" x14ac:dyDescent="0.25">
      <c r="P6400" s="220"/>
      <c r="Q6400" s="366"/>
    </row>
    <row r="6401" spans="16:17" x14ac:dyDescent="0.25">
      <c r="P6401" s="220"/>
      <c r="Q6401" s="366"/>
    </row>
    <row r="6402" spans="16:17" x14ac:dyDescent="0.25">
      <c r="P6402" s="220"/>
      <c r="Q6402" s="366"/>
    </row>
    <row r="6403" spans="16:17" x14ac:dyDescent="0.25">
      <c r="P6403" s="220"/>
      <c r="Q6403" s="366"/>
    </row>
    <row r="6404" spans="16:17" x14ac:dyDescent="0.25">
      <c r="P6404" s="220"/>
      <c r="Q6404" s="366"/>
    </row>
    <row r="6405" spans="16:17" x14ac:dyDescent="0.25">
      <c r="P6405" s="220"/>
      <c r="Q6405" s="366"/>
    </row>
    <row r="6406" spans="16:17" x14ac:dyDescent="0.25">
      <c r="P6406" s="220"/>
      <c r="Q6406" s="366"/>
    </row>
    <row r="6407" spans="16:17" x14ac:dyDescent="0.25">
      <c r="P6407" s="220"/>
      <c r="Q6407" s="366"/>
    </row>
    <row r="6408" spans="16:17" x14ac:dyDescent="0.25">
      <c r="P6408" s="220"/>
      <c r="Q6408" s="366"/>
    </row>
    <row r="6409" spans="16:17" x14ac:dyDescent="0.25">
      <c r="P6409" s="220"/>
      <c r="Q6409" s="366"/>
    </row>
    <row r="6410" spans="16:17" x14ac:dyDescent="0.25">
      <c r="P6410" s="220"/>
      <c r="Q6410" s="366"/>
    </row>
    <row r="6411" spans="16:17" x14ac:dyDescent="0.25">
      <c r="P6411" s="220"/>
      <c r="Q6411" s="366"/>
    </row>
    <row r="6412" spans="16:17" x14ac:dyDescent="0.25">
      <c r="P6412" s="220"/>
      <c r="Q6412" s="366"/>
    </row>
    <row r="6413" spans="16:17" x14ac:dyDescent="0.25">
      <c r="P6413" s="220"/>
      <c r="Q6413" s="366"/>
    </row>
    <row r="6414" spans="16:17" x14ac:dyDescent="0.25">
      <c r="P6414" s="220"/>
      <c r="Q6414" s="366"/>
    </row>
    <row r="6415" spans="16:17" x14ac:dyDescent="0.25">
      <c r="P6415" s="220"/>
      <c r="Q6415" s="366"/>
    </row>
    <row r="6416" spans="16:17" x14ac:dyDescent="0.25">
      <c r="P6416" s="220"/>
      <c r="Q6416" s="366"/>
    </row>
    <row r="6417" spans="16:17" x14ac:dyDescent="0.25">
      <c r="P6417" s="220"/>
      <c r="Q6417" s="366"/>
    </row>
    <row r="6418" spans="16:17" x14ac:dyDescent="0.25">
      <c r="P6418" s="220"/>
      <c r="Q6418" s="366"/>
    </row>
    <row r="6419" spans="16:17" x14ac:dyDescent="0.25">
      <c r="P6419" s="220"/>
      <c r="Q6419" s="366"/>
    </row>
    <row r="6420" spans="16:17" x14ac:dyDescent="0.25">
      <c r="P6420" s="220"/>
      <c r="Q6420" s="366"/>
    </row>
    <row r="6421" spans="16:17" x14ac:dyDescent="0.25">
      <c r="P6421" s="220"/>
      <c r="Q6421" s="366"/>
    </row>
    <row r="6422" spans="16:17" x14ac:dyDescent="0.25">
      <c r="P6422" s="220"/>
      <c r="Q6422" s="366"/>
    </row>
    <row r="6423" spans="16:17" x14ac:dyDescent="0.25">
      <c r="P6423" s="220"/>
      <c r="Q6423" s="366"/>
    </row>
    <row r="6424" spans="16:17" x14ac:dyDescent="0.25">
      <c r="P6424" s="220"/>
      <c r="Q6424" s="366"/>
    </row>
    <row r="6425" spans="16:17" x14ac:dyDescent="0.25">
      <c r="P6425" s="220"/>
      <c r="Q6425" s="366"/>
    </row>
    <row r="6426" spans="16:17" x14ac:dyDescent="0.25">
      <c r="P6426" s="220"/>
      <c r="Q6426" s="366"/>
    </row>
    <row r="6427" spans="16:17" x14ac:dyDescent="0.25">
      <c r="P6427" s="220"/>
      <c r="Q6427" s="366"/>
    </row>
    <row r="6428" spans="16:17" x14ac:dyDescent="0.25">
      <c r="P6428" s="220"/>
      <c r="Q6428" s="366"/>
    </row>
    <row r="6429" spans="16:17" x14ac:dyDescent="0.25">
      <c r="P6429" s="220"/>
      <c r="Q6429" s="366"/>
    </row>
    <row r="6430" spans="16:17" x14ac:dyDescent="0.25">
      <c r="P6430" s="220"/>
      <c r="Q6430" s="366"/>
    </row>
    <row r="6431" spans="16:17" x14ac:dyDescent="0.25">
      <c r="P6431" s="220"/>
      <c r="Q6431" s="366"/>
    </row>
    <row r="6432" spans="16:17" x14ac:dyDescent="0.25">
      <c r="P6432" s="220"/>
      <c r="Q6432" s="366"/>
    </row>
    <row r="6433" spans="16:17" x14ac:dyDescent="0.25">
      <c r="P6433" s="220"/>
      <c r="Q6433" s="366"/>
    </row>
    <row r="6434" spans="16:17" x14ac:dyDescent="0.25">
      <c r="P6434" s="220"/>
      <c r="Q6434" s="366"/>
    </row>
    <row r="6435" spans="16:17" x14ac:dyDescent="0.25">
      <c r="P6435" s="220"/>
      <c r="Q6435" s="366"/>
    </row>
    <row r="6436" spans="16:17" x14ac:dyDescent="0.25">
      <c r="P6436" s="220"/>
      <c r="Q6436" s="366"/>
    </row>
    <row r="6437" spans="16:17" x14ac:dyDescent="0.25">
      <c r="P6437" s="220"/>
      <c r="Q6437" s="366"/>
    </row>
    <row r="6438" spans="16:17" x14ac:dyDescent="0.25">
      <c r="P6438" s="220"/>
      <c r="Q6438" s="366"/>
    </row>
    <row r="6439" spans="16:17" x14ac:dyDescent="0.25">
      <c r="P6439" s="220"/>
      <c r="Q6439" s="366"/>
    </row>
    <row r="6440" spans="16:17" x14ac:dyDescent="0.25">
      <c r="P6440" s="220"/>
      <c r="Q6440" s="366"/>
    </row>
    <row r="6441" spans="16:17" x14ac:dyDescent="0.25">
      <c r="P6441" s="220"/>
      <c r="Q6441" s="366"/>
    </row>
    <row r="6442" spans="16:17" x14ac:dyDescent="0.25">
      <c r="P6442" s="220"/>
      <c r="Q6442" s="366"/>
    </row>
    <row r="6443" spans="16:17" x14ac:dyDescent="0.25">
      <c r="P6443" s="220"/>
      <c r="Q6443" s="366"/>
    </row>
    <row r="6444" spans="16:17" x14ac:dyDescent="0.25">
      <c r="P6444" s="220"/>
      <c r="Q6444" s="366"/>
    </row>
    <row r="6445" spans="16:17" x14ac:dyDescent="0.25">
      <c r="P6445" s="220"/>
      <c r="Q6445" s="366"/>
    </row>
    <row r="6446" spans="16:17" x14ac:dyDescent="0.25">
      <c r="P6446" s="220"/>
      <c r="Q6446" s="366"/>
    </row>
    <row r="6447" spans="16:17" x14ac:dyDescent="0.25">
      <c r="P6447" s="220"/>
      <c r="Q6447" s="366"/>
    </row>
    <row r="6448" spans="16:17" x14ac:dyDescent="0.25">
      <c r="P6448" s="220"/>
      <c r="Q6448" s="366"/>
    </row>
    <row r="6449" spans="16:17" x14ac:dyDescent="0.25">
      <c r="P6449" s="220"/>
      <c r="Q6449" s="366"/>
    </row>
    <row r="6450" spans="16:17" x14ac:dyDescent="0.25">
      <c r="P6450" s="220"/>
      <c r="Q6450" s="366"/>
    </row>
    <row r="6451" spans="16:17" x14ac:dyDescent="0.25">
      <c r="P6451" s="220"/>
      <c r="Q6451" s="366"/>
    </row>
    <row r="6452" spans="16:17" x14ac:dyDescent="0.25">
      <c r="P6452" s="220"/>
      <c r="Q6452" s="366"/>
    </row>
    <row r="6453" spans="16:17" x14ac:dyDescent="0.25">
      <c r="P6453" s="220"/>
      <c r="Q6453" s="366"/>
    </row>
    <row r="6454" spans="16:17" x14ac:dyDescent="0.25">
      <c r="P6454" s="220"/>
      <c r="Q6454" s="366"/>
    </row>
    <row r="6455" spans="16:17" x14ac:dyDescent="0.25">
      <c r="P6455" s="220"/>
      <c r="Q6455" s="366"/>
    </row>
    <row r="6456" spans="16:17" x14ac:dyDescent="0.25">
      <c r="P6456" s="220"/>
      <c r="Q6456" s="366"/>
    </row>
    <row r="6457" spans="16:17" x14ac:dyDescent="0.25">
      <c r="P6457" s="220"/>
      <c r="Q6457" s="366"/>
    </row>
    <row r="6458" spans="16:17" x14ac:dyDescent="0.25">
      <c r="P6458" s="220"/>
      <c r="Q6458" s="366"/>
    </row>
    <row r="6459" spans="16:17" x14ac:dyDescent="0.25">
      <c r="P6459" s="220"/>
      <c r="Q6459" s="366"/>
    </row>
    <row r="6460" spans="16:17" x14ac:dyDescent="0.25">
      <c r="P6460" s="220"/>
      <c r="Q6460" s="366"/>
    </row>
    <row r="6461" spans="16:17" x14ac:dyDescent="0.25">
      <c r="P6461" s="220"/>
      <c r="Q6461" s="366"/>
    </row>
    <row r="6462" spans="16:17" x14ac:dyDescent="0.25">
      <c r="P6462" s="220"/>
      <c r="Q6462" s="366"/>
    </row>
    <row r="6463" spans="16:17" x14ac:dyDescent="0.25">
      <c r="P6463" s="220"/>
      <c r="Q6463" s="366"/>
    </row>
    <row r="6464" spans="16:17" x14ac:dyDescent="0.25">
      <c r="P6464" s="220"/>
      <c r="Q6464" s="366"/>
    </row>
    <row r="6465" spans="16:17" x14ac:dyDescent="0.25">
      <c r="P6465" s="220"/>
      <c r="Q6465" s="366"/>
    </row>
    <row r="6466" spans="16:17" x14ac:dyDescent="0.25">
      <c r="P6466" s="220"/>
      <c r="Q6466" s="366"/>
    </row>
    <row r="6467" spans="16:17" x14ac:dyDescent="0.25">
      <c r="P6467" s="220"/>
      <c r="Q6467" s="366"/>
    </row>
    <row r="6468" spans="16:17" x14ac:dyDescent="0.25">
      <c r="P6468" s="220"/>
      <c r="Q6468" s="366"/>
    </row>
    <row r="6469" spans="16:17" x14ac:dyDescent="0.25">
      <c r="P6469" s="220"/>
      <c r="Q6469" s="366"/>
    </row>
    <row r="6470" spans="16:17" x14ac:dyDescent="0.25">
      <c r="P6470" s="220"/>
      <c r="Q6470" s="366"/>
    </row>
    <row r="6471" spans="16:17" x14ac:dyDescent="0.25">
      <c r="P6471" s="220"/>
      <c r="Q6471" s="366"/>
    </row>
    <row r="6472" spans="16:17" x14ac:dyDescent="0.25">
      <c r="P6472" s="220"/>
      <c r="Q6472" s="366"/>
    </row>
    <row r="6473" spans="16:17" x14ac:dyDescent="0.25">
      <c r="P6473" s="220"/>
      <c r="Q6473" s="366"/>
    </row>
    <row r="6474" spans="16:17" x14ac:dyDescent="0.25">
      <c r="P6474" s="220"/>
      <c r="Q6474" s="366"/>
    </row>
    <row r="6475" spans="16:17" x14ac:dyDescent="0.25">
      <c r="P6475" s="220"/>
      <c r="Q6475" s="366"/>
    </row>
    <row r="6476" spans="16:17" x14ac:dyDescent="0.25">
      <c r="P6476" s="220"/>
      <c r="Q6476" s="366"/>
    </row>
    <row r="6477" spans="16:17" x14ac:dyDescent="0.25">
      <c r="P6477" s="220"/>
      <c r="Q6477" s="366"/>
    </row>
    <row r="6478" spans="16:17" x14ac:dyDescent="0.25">
      <c r="P6478" s="220"/>
      <c r="Q6478" s="366"/>
    </row>
    <row r="6479" spans="16:17" x14ac:dyDescent="0.25">
      <c r="P6479" s="220"/>
      <c r="Q6479" s="366"/>
    </row>
    <row r="6480" spans="16:17" x14ac:dyDescent="0.25">
      <c r="P6480" s="220"/>
      <c r="Q6480" s="366"/>
    </row>
    <row r="6481" spans="16:17" x14ac:dyDescent="0.25">
      <c r="P6481" s="220"/>
      <c r="Q6481" s="366"/>
    </row>
    <row r="6482" spans="16:17" x14ac:dyDescent="0.25">
      <c r="P6482" s="220"/>
      <c r="Q6482" s="366"/>
    </row>
    <row r="6483" spans="16:17" x14ac:dyDescent="0.25">
      <c r="P6483" s="220"/>
      <c r="Q6483" s="366"/>
    </row>
    <row r="6484" spans="16:17" x14ac:dyDescent="0.25">
      <c r="P6484" s="220"/>
      <c r="Q6484" s="366"/>
    </row>
    <row r="6485" spans="16:17" x14ac:dyDescent="0.25">
      <c r="P6485" s="220"/>
      <c r="Q6485" s="366"/>
    </row>
    <row r="6486" spans="16:17" x14ac:dyDescent="0.25">
      <c r="P6486" s="220"/>
      <c r="Q6486" s="366"/>
    </row>
    <row r="6487" spans="16:17" x14ac:dyDescent="0.25">
      <c r="P6487" s="220"/>
      <c r="Q6487" s="366"/>
    </row>
    <row r="6488" spans="16:17" x14ac:dyDescent="0.25">
      <c r="P6488" s="220"/>
      <c r="Q6488" s="366"/>
    </row>
    <row r="6489" spans="16:17" x14ac:dyDescent="0.25">
      <c r="P6489" s="220"/>
      <c r="Q6489" s="366"/>
    </row>
    <row r="6490" spans="16:17" x14ac:dyDescent="0.25">
      <c r="P6490" s="220"/>
      <c r="Q6490" s="366"/>
    </row>
    <row r="6491" spans="16:17" x14ac:dyDescent="0.25">
      <c r="P6491" s="220"/>
      <c r="Q6491" s="366"/>
    </row>
    <row r="6492" spans="16:17" x14ac:dyDescent="0.25">
      <c r="P6492" s="220"/>
      <c r="Q6492" s="366"/>
    </row>
    <row r="6493" spans="16:17" x14ac:dyDescent="0.25">
      <c r="P6493" s="220"/>
      <c r="Q6493" s="366"/>
    </row>
    <row r="6494" spans="16:17" x14ac:dyDescent="0.25">
      <c r="P6494" s="220"/>
      <c r="Q6494" s="366"/>
    </row>
    <row r="6495" spans="16:17" x14ac:dyDescent="0.25">
      <c r="P6495" s="220"/>
      <c r="Q6495" s="366"/>
    </row>
    <row r="6496" spans="16:17" x14ac:dyDescent="0.25">
      <c r="P6496" s="220"/>
      <c r="Q6496" s="366"/>
    </row>
    <row r="6497" spans="16:17" x14ac:dyDescent="0.25">
      <c r="P6497" s="220"/>
      <c r="Q6497" s="366"/>
    </row>
    <row r="6498" spans="16:17" x14ac:dyDescent="0.25">
      <c r="P6498" s="220"/>
      <c r="Q6498" s="366"/>
    </row>
    <row r="6499" spans="16:17" x14ac:dyDescent="0.25">
      <c r="P6499" s="220"/>
      <c r="Q6499" s="366"/>
    </row>
    <row r="6500" spans="16:17" x14ac:dyDescent="0.25">
      <c r="P6500" s="220"/>
      <c r="Q6500" s="366"/>
    </row>
    <row r="6501" spans="16:17" x14ac:dyDescent="0.25">
      <c r="P6501" s="220"/>
      <c r="Q6501" s="366"/>
    </row>
    <row r="6502" spans="16:17" x14ac:dyDescent="0.25">
      <c r="P6502" s="220"/>
      <c r="Q6502" s="366"/>
    </row>
    <row r="6503" spans="16:17" x14ac:dyDescent="0.25">
      <c r="P6503" s="220"/>
      <c r="Q6503" s="366"/>
    </row>
    <row r="6504" spans="16:17" x14ac:dyDescent="0.25">
      <c r="P6504" s="220"/>
      <c r="Q6504" s="366"/>
    </row>
    <row r="6505" spans="16:17" x14ac:dyDescent="0.25">
      <c r="P6505" s="220"/>
      <c r="Q6505" s="366"/>
    </row>
    <row r="6506" spans="16:17" x14ac:dyDescent="0.25">
      <c r="P6506" s="220"/>
      <c r="Q6506" s="366"/>
    </row>
    <row r="6507" spans="16:17" x14ac:dyDescent="0.25">
      <c r="P6507" s="220"/>
      <c r="Q6507" s="366"/>
    </row>
    <row r="6508" spans="16:17" x14ac:dyDescent="0.25">
      <c r="P6508" s="220"/>
      <c r="Q6508" s="366"/>
    </row>
    <row r="6509" spans="16:17" x14ac:dyDescent="0.25">
      <c r="P6509" s="220"/>
      <c r="Q6509" s="366"/>
    </row>
    <row r="6510" spans="16:17" x14ac:dyDescent="0.25">
      <c r="P6510" s="220"/>
      <c r="Q6510" s="366"/>
    </row>
    <row r="6511" spans="16:17" x14ac:dyDescent="0.25">
      <c r="P6511" s="220"/>
      <c r="Q6511" s="366"/>
    </row>
    <row r="6512" spans="16:17" x14ac:dyDescent="0.25">
      <c r="P6512" s="220"/>
      <c r="Q6512" s="366"/>
    </row>
    <row r="6513" spans="16:17" x14ac:dyDescent="0.25">
      <c r="P6513" s="220"/>
      <c r="Q6513" s="366"/>
    </row>
    <row r="6514" spans="16:17" x14ac:dyDescent="0.25">
      <c r="P6514" s="220"/>
      <c r="Q6514" s="366"/>
    </row>
    <row r="6515" spans="16:17" x14ac:dyDescent="0.25">
      <c r="P6515" s="220"/>
      <c r="Q6515" s="366"/>
    </row>
    <row r="6516" spans="16:17" x14ac:dyDescent="0.25">
      <c r="P6516" s="220"/>
      <c r="Q6516" s="366"/>
    </row>
    <row r="6517" spans="16:17" x14ac:dyDescent="0.25">
      <c r="P6517" s="220"/>
      <c r="Q6517" s="366"/>
    </row>
    <row r="6518" spans="16:17" x14ac:dyDescent="0.25">
      <c r="P6518" s="220"/>
      <c r="Q6518" s="366"/>
    </row>
    <row r="6519" spans="16:17" x14ac:dyDescent="0.25">
      <c r="P6519" s="220"/>
      <c r="Q6519" s="366"/>
    </row>
    <row r="6520" spans="16:17" x14ac:dyDescent="0.25">
      <c r="P6520" s="220"/>
      <c r="Q6520" s="366"/>
    </row>
    <row r="6521" spans="16:17" x14ac:dyDescent="0.25">
      <c r="P6521" s="220"/>
      <c r="Q6521" s="366"/>
    </row>
    <row r="6522" spans="16:17" x14ac:dyDescent="0.25">
      <c r="P6522" s="220"/>
      <c r="Q6522" s="366"/>
    </row>
    <row r="6523" spans="16:17" x14ac:dyDescent="0.25">
      <c r="P6523" s="220"/>
      <c r="Q6523" s="366"/>
    </row>
    <row r="6524" spans="16:17" x14ac:dyDescent="0.25">
      <c r="P6524" s="220"/>
      <c r="Q6524" s="366"/>
    </row>
    <row r="6525" spans="16:17" x14ac:dyDescent="0.25">
      <c r="P6525" s="220"/>
      <c r="Q6525" s="366"/>
    </row>
    <row r="6526" spans="16:17" x14ac:dyDescent="0.25">
      <c r="P6526" s="220"/>
      <c r="Q6526" s="366"/>
    </row>
    <row r="6527" spans="16:17" x14ac:dyDescent="0.25">
      <c r="P6527" s="220"/>
      <c r="Q6527" s="366"/>
    </row>
    <row r="6528" spans="16:17" x14ac:dyDescent="0.25">
      <c r="P6528" s="220"/>
      <c r="Q6528" s="366"/>
    </row>
    <row r="6529" spans="16:17" x14ac:dyDescent="0.25">
      <c r="P6529" s="220"/>
      <c r="Q6529" s="366"/>
    </row>
    <row r="6530" spans="16:17" x14ac:dyDescent="0.25">
      <c r="P6530" s="220"/>
      <c r="Q6530" s="366"/>
    </row>
    <row r="6531" spans="16:17" x14ac:dyDescent="0.25">
      <c r="P6531" s="220"/>
      <c r="Q6531" s="366"/>
    </row>
    <row r="6532" spans="16:17" x14ac:dyDescent="0.25">
      <c r="P6532" s="220"/>
      <c r="Q6532" s="366"/>
    </row>
    <row r="6533" spans="16:17" x14ac:dyDescent="0.25">
      <c r="P6533" s="220"/>
      <c r="Q6533" s="366"/>
    </row>
    <row r="6534" spans="16:17" x14ac:dyDescent="0.25">
      <c r="P6534" s="220"/>
      <c r="Q6534" s="366"/>
    </row>
    <row r="6535" spans="16:17" x14ac:dyDescent="0.25">
      <c r="P6535" s="220"/>
      <c r="Q6535" s="366"/>
    </row>
    <row r="6536" spans="16:17" x14ac:dyDescent="0.25">
      <c r="P6536" s="220"/>
      <c r="Q6536" s="366"/>
    </row>
    <row r="6537" spans="16:17" x14ac:dyDescent="0.25">
      <c r="P6537" s="220"/>
      <c r="Q6537" s="366"/>
    </row>
    <row r="6538" spans="16:17" x14ac:dyDescent="0.25">
      <c r="P6538" s="220"/>
      <c r="Q6538" s="366"/>
    </row>
    <row r="6539" spans="16:17" x14ac:dyDescent="0.25">
      <c r="P6539" s="220"/>
      <c r="Q6539" s="366"/>
    </row>
    <row r="6540" spans="16:17" x14ac:dyDescent="0.25">
      <c r="P6540" s="220"/>
      <c r="Q6540" s="366"/>
    </row>
    <row r="6541" spans="16:17" x14ac:dyDescent="0.25">
      <c r="P6541" s="220"/>
      <c r="Q6541" s="366"/>
    </row>
    <row r="6542" spans="16:17" x14ac:dyDescent="0.25">
      <c r="P6542" s="220"/>
      <c r="Q6542" s="366"/>
    </row>
    <row r="6543" spans="16:17" x14ac:dyDescent="0.25">
      <c r="P6543" s="220"/>
      <c r="Q6543" s="366"/>
    </row>
    <row r="6544" spans="16:17" x14ac:dyDescent="0.25">
      <c r="P6544" s="220"/>
      <c r="Q6544" s="366"/>
    </row>
    <row r="6545" spans="16:17" x14ac:dyDescent="0.25">
      <c r="P6545" s="220"/>
      <c r="Q6545" s="366"/>
    </row>
    <row r="6546" spans="16:17" x14ac:dyDescent="0.25">
      <c r="P6546" s="220"/>
      <c r="Q6546" s="366"/>
    </row>
    <row r="6547" spans="16:17" x14ac:dyDescent="0.25">
      <c r="P6547" s="220"/>
      <c r="Q6547" s="366"/>
    </row>
    <row r="6548" spans="16:17" x14ac:dyDescent="0.25">
      <c r="P6548" s="220"/>
      <c r="Q6548" s="366"/>
    </row>
    <row r="6549" spans="16:17" x14ac:dyDescent="0.25">
      <c r="P6549" s="220"/>
      <c r="Q6549" s="366"/>
    </row>
    <row r="6550" spans="16:17" x14ac:dyDescent="0.25">
      <c r="P6550" s="220"/>
      <c r="Q6550" s="366"/>
    </row>
    <row r="6551" spans="16:17" x14ac:dyDescent="0.25">
      <c r="P6551" s="220"/>
      <c r="Q6551" s="366"/>
    </row>
    <row r="6552" spans="16:17" x14ac:dyDescent="0.25">
      <c r="P6552" s="220"/>
      <c r="Q6552" s="366"/>
    </row>
    <row r="6553" spans="16:17" x14ac:dyDescent="0.25">
      <c r="P6553" s="220"/>
      <c r="Q6553" s="366"/>
    </row>
    <row r="6554" spans="16:17" x14ac:dyDescent="0.25">
      <c r="P6554" s="220"/>
      <c r="Q6554" s="366"/>
    </row>
    <row r="6555" spans="16:17" x14ac:dyDescent="0.25">
      <c r="P6555" s="220"/>
      <c r="Q6555" s="366"/>
    </row>
    <row r="6556" spans="16:17" x14ac:dyDescent="0.25">
      <c r="P6556" s="220"/>
      <c r="Q6556" s="366"/>
    </row>
    <row r="6557" spans="16:17" x14ac:dyDescent="0.25">
      <c r="P6557" s="220"/>
      <c r="Q6557" s="366"/>
    </row>
    <row r="6558" spans="16:17" x14ac:dyDescent="0.25">
      <c r="P6558" s="220"/>
      <c r="Q6558" s="366"/>
    </row>
    <row r="6559" spans="16:17" x14ac:dyDescent="0.25">
      <c r="P6559" s="220"/>
      <c r="Q6559" s="366"/>
    </row>
    <row r="6560" spans="16:17" x14ac:dyDescent="0.25">
      <c r="P6560" s="220"/>
      <c r="Q6560" s="366"/>
    </row>
    <row r="6561" spans="16:17" x14ac:dyDescent="0.25">
      <c r="P6561" s="220"/>
      <c r="Q6561" s="366"/>
    </row>
    <row r="6562" spans="16:17" x14ac:dyDescent="0.25">
      <c r="P6562" s="220"/>
      <c r="Q6562" s="366"/>
    </row>
    <row r="6563" spans="16:17" x14ac:dyDescent="0.25">
      <c r="P6563" s="220"/>
      <c r="Q6563" s="366"/>
    </row>
    <row r="6564" spans="16:17" x14ac:dyDescent="0.25">
      <c r="P6564" s="220"/>
      <c r="Q6564" s="366"/>
    </row>
    <row r="6565" spans="16:17" x14ac:dyDescent="0.25">
      <c r="P6565" s="220"/>
      <c r="Q6565" s="366"/>
    </row>
    <row r="6566" spans="16:17" x14ac:dyDescent="0.25">
      <c r="P6566" s="220"/>
      <c r="Q6566" s="366"/>
    </row>
    <row r="6567" spans="16:17" x14ac:dyDescent="0.25">
      <c r="P6567" s="220"/>
      <c r="Q6567" s="366"/>
    </row>
    <row r="6568" spans="16:17" x14ac:dyDescent="0.25">
      <c r="P6568" s="220"/>
      <c r="Q6568" s="366"/>
    </row>
    <row r="6569" spans="16:17" x14ac:dyDescent="0.25">
      <c r="P6569" s="220"/>
      <c r="Q6569" s="366"/>
    </row>
    <row r="6570" spans="16:17" x14ac:dyDescent="0.25">
      <c r="P6570" s="220"/>
      <c r="Q6570" s="366"/>
    </row>
    <row r="6571" spans="16:17" x14ac:dyDescent="0.25">
      <c r="P6571" s="220"/>
      <c r="Q6571" s="366"/>
    </row>
    <row r="6572" spans="16:17" x14ac:dyDescent="0.25">
      <c r="P6572" s="220"/>
      <c r="Q6572" s="366"/>
    </row>
    <row r="6573" spans="16:17" x14ac:dyDescent="0.25">
      <c r="P6573" s="220"/>
      <c r="Q6573" s="366"/>
    </row>
    <row r="6574" spans="16:17" x14ac:dyDescent="0.25">
      <c r="P6574" s="220"/>
      <c r="Q6574" s="366"/>
    </row>
    <row r="6575" spans="16:17" x14ac:dyDescent="0.25">
      <c r="P6575" s="220"/>
      <c r="Q6575" s="366"/>
    </row>
    <row r="6576" spans="16:17" x14ac:dyDescent="0.25">
      <c r="P6576" s="220"/>
      <c r="Q6576" s="366"/>
    </row>
    <row r="6577" spans="16:17" x14ac:dyDescent="0.25">
      <c r="P6577" s="220"/>
      <c r="Q6577" s="366"/>
    </row>
    <row r="6578" spans="16:17" x14ac:dyDescent="0.25">
      <c r="P6578" s="220"/>
      <c r="Q6578" s="366"/>
    </row>
    <row r="6579" spans="16:17" x14ac:dyDescent="0.25">
      <c r="P6579" s="220"/>
      <c r="Q6579" s="366"/>
    </row>
    <row r="6580" spans="16:17" x14ac:dyDescent="0.25">
      <c r="P6580" s="220"/>
      <c r="Q6580" s="366"/>
    </row>
    <row r="6581" spans="16:17" x14ac:dyDescent="0.25">
      <c r="P6581" s="220"/>
      <c r="Q6581" s="366"/>
    </row>
    <row r="6582" spans="16:17" x14ac:dyDescent="0.25">
      <c r="P6582" s="220"/>
      <c r="Q6582" s="366"/>
    </row>
    <row r="6583" spans="16:17" x14ac:dyDescent="0.25">
      <c r="P6583" s="220"/>
      <c r="Q6583" s="366"/>
    </row>
    <row r="6584" spans="16:17" x14ac:dyDescent="0.25">
      <c r="P6584" s="220"/>
      <c r="Q6584" s="366"/>
    </row>
    <row r="6585" spans="16:17" x14ac:dyDescent="0.25">
      <c r="P6585" s="220"/>
      <c r="Q6585" s="366"/>
    </row>
    <row r="6586" spans="16:17" x14ac:dyDescent="0.25">
      <c r="P6586" s="220"/>
      <c r="Q6586" s="366"/>
    </row>
    <row r="6587" spans="16:17" x14ac:dyDescent="0.25">
      <c r="P6587" s="220"/>
      <c r="Q6587" s="366"/>
    </row>
    <row r="6588" spans="16:17" x14ac:dyDescent="0.25">
      <c r="P6588" s="220"/>
      <c r="Q6588" s="366"/>
    </row>
    <row r="6589" spans="16:17" x14ac:dyDescent="0.25">
      <c r="P6589" s="220"/>
      <c r="Q6589" s="366"/>
    </row>
    <row r="6590" spans="16:17" x14ac:dyDescent="0.25">
      <c r="P6590" s="220"/>
      <c r="Q6590" s="366"/>
    </row>
    <row r="6591" spans="16:17" x14ac:dyDescent="0.25">
      <c r="P6591" s="220"/>
      <c r="Q6591" s="366"/>
    </row>
    <row r="6592" spans="16:17" x14ac:dyDescent="0.25">
      <c r="P6592" s="220"/>
      <c r="Q6592" s="366"/>
    </row>
    <row r="6593" spans="16:17" x14ac:dyDescent="0.25">
      <c r="P6593" s="220"/>
      <c r="Q6593" s="366"/>
    </row>
    <row r="6594" spans="16:17" x14ac:dyDescent="0.25">
      <c r="P6594" s="220"/>
      <c r="Q6594" s="366"/>
    </row>
    <row r="6595" spans="16:17" x14ac:dyDescent="0.25">
      <c r="P6595" s="220"/>
      <c r="Q6595" s="366"/>
    </row>
    <row r="6596" spans="16:17" x14ac:dyDescent="0.25">
      <c r="P6596" s="220"/>
      <c r="Q6596" s="366"/>
    </row>
    <row r="6597" spans="16:17" x14ac:dyDescent="0.25">
      <c r="P6597" s="220"/>
      <c r="Q6597" s="366"/>
    </row>
    <row r="6598" spans="16:17" x14ac:dyDescent="0.25">
      <c r="P6598" s="220"/>
      <c r="Q6598" s="366"/>
    </row>
    <row r="6599" spans="16:17" x14ac:dyDescent="0.25">
      <c r="P6599" s="220"/>
      <c r="Q6599" s="366"/>
    </row>
    <row r="6600" spans="16:17" x14ac:dyDescent="0.25">
      <c r="P6600" s="220"/>
      <c r="Q6600" s="366"/>
    </row>
    <row r="6601" spans="16:17" x14ac:dyDescent="0.25">
      <c r="P6601" s="220"/>
      <c r="Q6601" s="366"/>
    </row>
    <row r="6602" spans="16:17" x14ac:dyDescent="0.25">
      <c r="P6602" s="220"/>
      <c r="Q6602" s="366"/>
    </row>
    <row r="6603" spans="16:17" x14ac:dyDescent="0.25">
      <c r="P6603" s="220"/>
      <c r="Q6603" s="366"/>
    </row>
    <row r="6604" spans="16:17" x14ac:dyDescent="0.25">
      <c r="P6604" s="220"/>
      <c r="Q6604" s="366"/>
    </row>
    <row r="6605" spans="16:17" x14ac:dyDescent="0.25">
      <c r="P6605" s="220"/>
      <c r="Q6605" s="366"/>
    </row>
    <row r="6606" spans="16:17" x14ac:dyDescent="0.25">
      <c r="P6606" s="220"/>
      <c r="Q6606" s="366"/>
    </row>
    <row r="6607" spans="16:17" x14ac:dyDescent="0.25">
      <c r="P6607" s="220"/>
      <c r="Q6607" s="366"/>
    </row>
    <row r="6608" spans="16:17" x14ac:dyDescent="0.25">
      <c r="P6608" s="220"/>
      <c r="Q6608" s="366"/>
    </row>
    <row r="6609" spans="16:17" x14ac:dyDescent="0.25">
      <c r="P6609" s="220"/>
      <c r="Q6609" s="366"/>
    </row>
    <row r="6610" spans="16:17" x14ac:dyDescent="0.25">
      <c r="P6610" s="220"/>
      <c r="Q6610" s="366"/>
    </row>
    <row r="6611" spans="16:17" x14ac:dyDescent="0.25">
      <c r="P6611" s="220"/>
      <c r="Q6611" s="366"/>
    </row>
    <row r="6612" spans="16:17" x14ac:dyDescent="0.25">
      <c r="P6612" s="220"/>
      <c r="Q6612" s="366"/>
    </row>
    <row r="6613" spans="16:17" x14ac:dyDescent="0.25">
      <c r="P6613" s="220"/>
      <c r="Q6613" s="366"/>
    </row>
    <row r="6614" spans="16:17" x14ac:dyDescent="0.25">
      <c r="P6614" s="220"/>
      <c r="Q6614" s="366"/>
    </row>
    <row r="6615" spans="16:17" x14ac:dyDescent="0.25">
      <c r="P6615" s="220"/>
      <c r="Q6615" s="366"/>
    </row>
    <row r="6616" spans="16:17" x14ac:dyDescent="0.25">
      <c r="P6616" s="220"/>
      <c r="Q6616" s="366"/>
    </row>
    <row r="6617" spans="16:17" x14ac:dyDescent="0.25">
      <c r="P6617" s="220"/>
      <c r="Q6617" s="366"/>
    </row>
    <row r="6618" spans="16:17" x14ac:dyDescent="0.25">
      <c r="P6618" s="220"/>
      <c r="Q6618" s="366"/>
    </row>
    <row r="6619" spans="16:17" x14ac:dyDescent="0.25">
      <c r="P6619" s="220"/>
      <c r="Q6619" s="366"/>
    </row>
    <row r="6620" spans="16:17" x14ac:dyDescent="0.25">
      <c r="P6620" s="220"/>
      <c r="Q6620" s="366"/>
    </row>
    <row r="6621" spans="16:17" x14ac:dyDescent="0.25">
      <c r="P6621" s="220"/>
      <c r="Q6621" s="366"/>
    </row>
    <row r="6622" spans="16:17" x14ac:dyDescent="0.25">
      <c r="P6622" s="220"/>
      <c r="Q6622" s="366"/>
    </row>
    <row r="6623" spans="16:17" x14ac:dyDescent="0.25">
      <c r="P6623" s="220"/>
      <c r="Q6623" s="366"/>
    </row>
    <row r="6624" spans="16:17" x14ac:dyDescent="0.25">
      <c r="P6624" s="220"/>
      <c r="Q6624" s="366"/>
    </row>
    <row r="6625" spans="16:17" x14ac:dyDescent="0.25">
      <c r="P6625" s="220"/>
      <c r="Q6625" s="366"/>
    </row>
    <row r="6626" spans="16:17" x14ac:dyDescent="0.25">
      <c r="P6626" s="220"/>
      <c r="Q6626" s="366"/>
    </row>
    <row r="6627" spans="16:17" x14ac:dyDescent="0.25">
      <c r="P6627" s="220"/>
      <c r="Q6627" s="366"/>
    </row>
    <row r="6628" spans="16:17" x14ac:dyDescent="0.25">
      <c r="P6628" s="220"/>
      <c r="Q6628" s="366"/>
    </row>
    <row r="6629" spans="16:17" x14ac:dyDescent="0.25">
      <c r="P6629" s="220"/>
      <c r="Q6629" s="366"/>
    </row>
    <row r="6630" spans="16:17" x14ac:dyDescent="0.25">
      <c r="P6630" s="220"/>
      <c r="Q6630" s="366"/>
    </row>
    <row r="6631" spans="16:17" x14ac:dyDescent="0.25">
      <c r="P6631" s="220"/>
      <c r="Q6631" s="366"/>
    </row>
    <row r="6632" spans="16:17" x14ac:dyDescent="0.25">
      <c r="P6632" s="220"/>
      <c r="Q6632" s="366"/>
    </row>
    <row r="6633" spans="16:17" x14ac:dyDescent="0.25">
      <c r="P6633" s="220"/>
      <c r="Q6633" s="366"/>
    </row>
    <row r="6634" spans="16:17" x14ac:dyDescent="0.25">
      <c r="P6634" s="220"/>
      <c r="Q6634" s="366"/>
    </row>
    <row r="6635" spans="16:17" x14ac:dyDescent="0.25">
      <c r="P6635" s="220"/>
      <c r="Q6635" s="366"/>
    </row>
    <row r="6636" spans="16:17" x14ac:dyDescent="0.25">
      <c r="P6636" s="220"/>
      <c r="Q6636" s="366"/>
    </row>
    <row r="6637" spans="16:17" x14ac:dyDescent="0.25">
      <c r="P6637" s="220"/>
      <c r="Q6637" s="366"/>
    </row>
    <row r="6638" spans="16:17" x14ac:dyDescent="0.25">
      <c r="P6638" s="220"/>
      <c r="Q6638" s="366"/>
    </row>
    <row r="6639" spans="16:17" x14ac:dyDescent="0.25">
      <c r="P6639" s="220"/>
      <c r="Q6639" s="366"/>
    </row>
    <row r="6640" spans="16:17" x14ac:dyDescent="0.25">
      <c r="P6640" s="220"/>
      <c r="Q6640" s="366"/>
    </row>
    <row r="6641" spans="16:17" x14ac:dyDescent="0.25">
      <c r="P6641" s="220"/>
      <c r="Q6641" s="366"/>
    </row>
    <row r="6642" spans="16:17" x14ac:dyDescent="0.25">
      <c r="P6642" s="220"/>
      <c r="Q6642" s="366"/>
    </row>
    <row r="6643" spans="16:17" x14ac:dyDescent="0.25">
      <c r="P6643" s="220"/>
      <c r="Q6643" s="366"/>
    </row>
    <row r="6644" spans="16:17" x14ac:dyDescent="0.25">
      <c r="P6644" s="220"/>
      <c r="Q6644" s="366"/>
    </row>
    <row r="6645" spans="16:17" x14ac:dyDescent="0.25">
      <c r="P6645" s="220"/>
      <c r="Q6645" s="366"/>
    </row>
    <row r="6646" spans="16:17" x14ac:dyDescent="0.25">
      <c r="P6646" s="220"/>
      <c r="Q6646" s="366"/>
    </row>
    <row r="6647" spans="16:17" x14ac:dyDescent="0.25">
      <c r="P6647" s="220"/>
      <c r="Q6647" s="366"/>
    </row>
    <row r="6648" spans="16:17" x14ac:dyDescent="0.25">
      <c r="P6648" s="220"/>
      <c r="Q6648" s="366"/>
    </row>
    <row r="6649" spans="16:17" x14ac:dyDescent="0.25">
      <c r="P6649" s="220"/>
      <c r="Q6649" s="366"/>
    </row>
    <row r="6650" spans="16:17" x14ac:dyDescent="0.25">
      <c r="P6650" s="220"/>
      <c r="Q6650" s="366"/>
    </row>
    <row r="6651" spans="16:17" x14ac:dyDescent="0.25">
      <c r="P6651" s="220"/>
      <c r="Q6651" s="366"/>
    </row>
    <row r="6652" spans="16:17" x14ac:dyDescent="0.25">
      <c r="P6652" s="220"/>
      <c r="Q6652" s="366"/>
    </row>
    <row r="6653" spans="16:17" x14ac:dyDescent="0.25">
      <c r="P6653" s="220"/>
      <c r="Q6653" s="366"/>
    </row>
    <row r="6654" spans="16:17" x14ac:dyDescent="0.25">
      <c r="P6654" s="220"/>
      <c r="Q6654" s="366"/>
    </row>
    <row r="6655" spans="16:17" x14ac:dyDescent="0.25">
      <c r="P6655" s="220"/>
      <c r="Q6655" s="366"/>
    </row>
    <row r="6656" spans="16:17" x14ac:dyDescent="0.25">
      <c r="P6656" s="220"/>
      <c r="Q6656" s="366"/>
    </row>
    <row r="6657" spans="16:17" x14ac:dyDescent="0.25">
      <c r="P6657" s="220"/>
      <c r="Q6657" s="366"/>
    </row>
    <row r="6658" spans="16:17" x14ac:dyDescent="0.25">
      <c r="P6658" s="220"/>
      <c r="Q6658" s="366"/>
    </row>
    <row r="6659" spans="16:17" x14ac:dyDescent="0.25">
      <c r="P6659" s="220"/>
      <c r="Q6659" s="366"/>
    </row>
    <row r="6660" spans="16:17" x14ac:dyDescent="0.25">
      <c r="P6660" s="220"/>
      <c r="Q6660" s="366"/>
    </row>
    <row r="6661" spans="16:17" x14ac:dyDescent="0.25">
      <c r="P6661" s="220"/>
      <c r="Q6661" s="366"/>
    </row>
    <row r="6662" spans="16:17" x14ac:dyDescent="0.25">
      <c r="P6662" s="220"/>
      <c r="Q6662" s="366"/>
    </row>
    <row r="6663" spans="16:17" x14ac:dyDescent="0.25">
      <c r="P6663" s="220"/>
      <c r="Q6663" s="366"/>
    </row>
    <row r="6664" spans="16:17" x14ac:dyDescent="0.25">
      <c r="P6664" s="220"/>
      <c r="Q6664" s="366"/>
    </row>
    <row r="6665" spans="16:17" x14ac:dyDescent="0.25">
      <c r="P6665" s="220"/>
      <c r="Q6665" s="366"/>
    </row>
    <row r="6666" spans="16:17" x14ac:dyDescent="0.25">
      <c r="P6666" s="220"/>
      <c r="Q6666" s="366"/>
    </row>
    <row r="6667" spans="16:17" x14ac:dyDescent="0.25">
      <c r="P6667" s="220"/>
      <c r="Q6667" s="366"/>
    </row>
    <row r="6668" spans="16:17" x14ac:dyDescent="0.25">
      <c r="P6668" s="220"/>
      <c r="Q6668" s="366"/>
    </row>
    <row r="6669" spans="16:17" x14ac:dyDescent="0.25">
      <c r="P6669" s="220"/>
      <c r="Q6669" s="366"/>
    </row>
    <row r="6670" spans="16:17" x14ac:dyDescent="0.25">
      <c r="P6670" s="220"/>
      <c r="Q6670" s="366"/>
    </row>
    <row r="6671" spans="16:17" x14ac:dyDescent="0.25">
      <c r="P6671" s="220"/>
      <c r="Q6671" s="366"/>
    </row>
    <row r="6672" spans="16:17" x14ac:dyDescent="0.25">
      <c r="P6672" s="220"/>
      <c r="Q6672" s="366"/>
    </row>
    <row r="6673" spans="16:17" x14ac:dyDescent="0.25">
      <c r="P6673" s="220"/>
      <c r="Q6673" s="366"/>
    </row>
    <row r="6674" spans="16:17" x14ac:dyDescent="0.25">
      <c r="P6674" s="220"/>
      <c r="Q6674" s="366"/>
    </row>
    <row r="6675" spans="16:17" x14ac:dyDescent="0.25">
      <c r="P6675" s="220"/>
      <c r="Q6675" s="366"/>
    </row>
    <row r="6676" spans="16:17" x14ac:dyDescent="0.25">
      <c r="P6676" s="220"/>
      <c r="Q6676" s="366"/>
    </row>
    <row r="6677" spans="16:17" x14ac:dyDescent="0.25">
      <c r="P6677" s="220"/>
      <c r="Q6677" s="366"/>
    </row>
    <row r="6678" spans="16:17" x14ac:dyDescent="0.25">
      <c r="P6678" s="220"/>
      <c r="Q6678" s="366"/>
    </row>
    <row r="6679" spans="16:17" x14ac:dyDescent="0.25">
      <c r="P6679" s="220"/>
      <c r="Q6679" s="366"/>
    </row>
    <row r="6680" spans="16:17" x14ac:dyDescent="0.25">
      <c r="P6680" s="220"/>
      <c r="Q6680" s="366"/>
    </row>
    <row r="6681" spans="16:17" x14ac:dyDescent="0.25">
      <c r="P6681" s="220"/>
      <c r="Q6681" s="366"/>
    </row>
    <row r="6682" spans="16:17" x14ac:dyDescent="0.25">
      <c r="P6682" s="220"/>
      <c r="Q6682" s="366"/>
    </row>
    <row r="6683" spans="16:17" x14ac:dyDescent="0.25">
      <c r="P6683" s="220"/>
      <c r="Q6683" s="366"/>
    </row>
    <row r="6684" spans="16:17" x14ac:dyDescent="0.25">
      <c r="P6684" s="220"/>
      <c r="Q6684" s="366"/>
    </row>
    <row r="6685" spans="16:17" x14ac:dyDescent="0.25">
      <c r="P6685" s="220"/>
      <c r="Q6685" s="366"/>
    </row>
    <row r="6686" spans="16:17" x14ac:dyDescent="0.25">
      <c r="P6686" s="220"/>
      <c r="Q6686" s="366"/>
    </row>
    <row r="6687" spans="16:17" x14ac:dyDescent="0.25">
      <c r="P6687" s="220"/>
      <c r="Q6687" s="366"/>
    </row>
    <row r="6688" spans="16:17" x14ac:dyDescent="0.25">
      <c r="P6688" s="220"/>
      <c r="Q6688" s="366"/>
    </row>
    <row r="6689" spans="16:17" x14ac:dyDescent="0.25">
      <c r="P6689" s="220"/>
      <c r="Q6689" s="366"/>
    </row>
    <row r="6690" spans="16:17" x14ac:dyDescent="0.25">
      <c r="P6690" s="220"/>
      <c r="Q6690" s="366"/>
    </row>
    <row r="6691" spans="16:17" x14ac:dyDescent="0.25">
      <c r="P6691" s="220"/>
      <c r="Q6691" s="366"/>
    </row>
    <row r="6692" spans="16:17" x14ac:dyDescent="0.25">
      <c r="P6692" s="220"/>
      <c r="Q6692" s="366"/>
    </row>
    <row r="6693" spans="16:17" x14ac:dyDescent="0.25">
      <c r="P6693" s="220"/>
      <c r="Q6693" s="366"/>
    </row>
    <row r="6694" spans="16:17" x14ac:dyDescent="0.25">
      <c r="P6694" s="220"/>
      <c r="Q6694" s="366"/>
    </row>
    <row r="6695" spans="16:17" x14ac:dyDescent="0.25">
      <c r="P6695" s="220"/>
      <c r="Q6695" s="366"/>
    </row>
    <row r="6696" spans="16:17" x14ac:dyDescent="0.25">
      <c r="P6696" s="220"/>
      <c r="Q6696" s="366"/>
    </row>
    <row r="6697" spans="16:17" x14ac:dyDescent="0.25">
      <c r="P6697" s="220"/>
      <c r="Q6697" s="366"/>
    </row>
    <row r="6698" spans="16:17" x14ac:dyDescent="0.25">
      <c r="P6698" s="220"/>
      <c r="Q6698" s="366"/>
    </row>
    <row r="6699" spans="16:17" x14ac:dyDescent="0.25">
      <c r="P6699" s="220"/>
      <c r="Q6699" s="366"/>
    </row>
    <row r="6700" spans="16:17" x14ac:dyDescent="0.25">
      <c r="P6700" s="220"/>
      <c r="Q6700" s="366"/>
    </row>
    <row r="6701" spans="16:17" x14ac:dyDescent="0.25">
      <c r="P6701" s="220"/>
      <c r="Q6701" s="366"/>
    </row>
    <row r="6702" spans="16:17" x14ac:dyDescent="0.25">
      <c r="P6702" s="220"/>
      <c r="Q6702" s="366"/>
    </row>
    <row r="6703" spans="16:17" x14ac:dyDescent="0.25">
      <c r="P6703" s="220"/>
      <c r="Q6703" s="366"/>
    </row>
    <row r="6704" spans="16:17" x14ac:dyDescent="0.25">
      <c r="P6704" s="220"/>
      <c r="Q6704" s="366"/>
    </row>
    <row r="6705" spans="16:17" x14ac:dyDescent="0.25">
      <c r="P6705" s="220"/>
      <c r="Q6705" s="366"/>
    </row>
    <row r="6706" spans="16:17" x14ac:dyDescent="0.25">
      <c r="P6706" s="220"/>
      <c r="Q6706" s="366"/>
    </row>
    <row r="6707" spans="16:17" x14ac:dyDescent="0.25">
      <c r="P6707" s="220"/>
      <c r="Q6707" s="366"/>
    </row>
    <row r="6708" spans="16:17" x14ac:dyDescent="0.25">
      <c r="P6708" s="220"/>
      <c r="Q6708" s="366"/>
    </row>
    <row r="6709" spans="16:17" x14ac:dyDescent="0.25">
      <c r="P6709" s="220"/>
      <c r="Q6709" s="366"/>
    </row>
    <row r="6710" spans="16:17" x14ac:dyDescent="0.25">
      <c r="P6710" s="220"/>
      <c r="Q6710" s="366"/>
    </row>
    <row r="6711" spans="16:17" x14ac:dyDescent="0.25">
      <c r="P6711" s="220"/>
      <c r="Q6711" s="366"/>
    </row>
    <row r="6712" spans="16:17" x14ac:dyDescent="0.25">
      <c r="P6712" s="220"/>
      <c r="Q6712" s="366"/>
    </row>
    <row r="6713" spans="16:17" x14ac:dyDescent="0.25">
      <c r="P6713" s="220"/>
      <c r="Q6713" s="366"/>
    </row>
    <row r="6714" spans="16:17" x14ac:dyDescent="0.25">
      <c r="P6714" s="220"/>
      <c r="Q6714" s="366"/>
    </row>
    <row r="6715" spans="16:17" x14ac:dyDescent="0.25">
      <c r="P6715" s="220"/>
      <c r="Q6715" s="366"/>
    </row>
    <row r="6716" spans="16:17" x14ac:dyDescent="0.25">
      <c r="P6716" s="220"/>
      <c r="Q6716" s="366"/>
    </row>
    <row r="6717" spans="16:17" x14ac:dyDescent="0.25">
      <c r="P6717" s="220"/>
      <c r="Q6717" s="366"/>
    </row>
    <row r="6718" spans="16:17" x14ac:dyDescent="0.25">
      <c r="P6718" s="220"/>
      <c r="Q6718" s="366"/>
    </row>
    <row r="6719" spans="16:17" x14ac:dyDescent="0.25">
      <c r="P6719" s="220"/>
      <c r="Q6719" s="366"/>
    </row>
    <row r="6720" spans="16:17" x14ac:dyDescent="0.25">
      <c r="P6720" s="220"/>
      <c r="Q6720" s="366"/>
    </row>
    <row r="6721" spans="16:17" x14ac:dyDescent="0.25">
      <c r="P6721" s="220"/>
      <c r="Q6721" s="366"/>
    </row>
    <row r="6722" spans="16:17" x14ac:dyDescent="0.25">
      <c r="P6722" s="220"/>
      <c r="Q6722" s="366"/>
    </row>
    <row r="6723" spans="16:17" x14ac:dyDescent="0.25">
      <c r="P6723" s="220"/>
      <c r="Q6723" s="366"/>
    </row>
    <row r="6724" spans="16:17" x14ac:dyDescent="0.25">
      <c r="P6724" s="220"/>
      <c r="Q6724" s="366"/>
    </row>
    <row r="6725" spans="16:17" x14ac:dyDescent="0.25">
      <c r="P6725" s="220"/>
      <c r="Q6725" s="366"/>
    </row>
    <row r="6726" spans="16:17" x14ac:dyDescent="0.25">
      <c r="P6726" s="220"/>
      <c r="Q6726" s="366"/>
    </row>
    <row r="6727" spans="16:17" x14ac:dyDescent="0.25">
      <c r="P6727" s="220"/>
      <c r="Q6727" s="366"/>
    </row>
    <row r="6728" spans="16:17" x14ac:dyDescent="0.25">
      <c r="P6728" s="220"/>
      <c r="Q6728" s="366"/>
    </row>
    <row r="6729" spans="16:17" x14ac:dyDescent="0.25">
      <c r="P6729" s="220"/>
      <c r="Q6729" s="366"/>
    </row>
    <row r="6730" spans="16:17" x14ac:dyDescent="0.25">
      <c r="P6730" s="220"/>
      <c r="Q6730" s="366"/>
    </row>
    <row r="6731" spans="16:17" x14ac:dyDescent="0.25">
      <c r="P6731" s="220"/>
      <c r="Q6731" s="366"/>
    </row>
    <row r="6732" spans="16:17" x14ac:dyDescent="0.25">
      <c r="P6732" s="220"/>
      <c r="Q6732" s="366"/>
    </row>
    <row r="6733" spans="16:17" x14ac:dyDescent="0.25">
      <c r="P6733" s="220"/>
      <c r="Q6733" s="366"/>
    </row>
    <row r="6734" spans="16:17" x14ac:dyDescent="0.25">
      <c r="P6734" s="220"/>
      <c r="Q6734" s="366"/>
    </row>
    <row r="6735" spans="16:17" x14ac:dyDescent="0.25">
      <c r="P6735" s="220"/>
      <c r="Q6735" s="366"/>
    </row>
    <row r="6736" spans="16:17" x14ac:dyDescent="0.25">
      <c r="P6736" s="220"/>
      <c r="Q6736" s="366"/>
    </row>
    <row r="6737" spans="16:17" x14ac:dyDescent="0.25">
      <c r="P6737" s="220"/>
      <c r="Q6737" s="366"/>
    </row>
    <row r="6738" spans="16:17" x14ac:dyDescent="0.25">
      <c r="P6738" s="220"/>
      <c r="Q6738" s="366"/>
    </row>
    <row r="6739" spans="16:17" x14ac:dyDescent="0.25">
      <c r="P6739" s="220"/>
      <c r="Q6739" s="366"/>
    </row>
    <row r="6740" spans="16:17" x14ac:dyDescent="0.25">
      <c r="P6740" s="220"/>
      <c r="Q6740" s="366"/>
    </row>
    <row r="6741" spans="16:17" x14ac:dyDescent="0.25">
      <c r="P6741" s="220"/>
      <c r="Q6741" s="366"/>
    </row>
    <row r="6742" spans="16:17" x14ac:dyDescent="0.25">
      <c r="P6742" s="220"/>
      <c r="Q6742" s="366"/>
    </row>
    <row r="6743" spans="16:17" x14ac:dyDescent="0.25">
      <c r="P6743" s="220"/>
      <c r="Q6743" s="366"/>
    </row>
    <row r="6744" spans="16:17" x14ac:dyDescent="0.25">
      <c r="P6744" s="220"/>
      <c r="Q6744" s="366"/>
    </row>
    <row r="6745" spans="16:17" x14ac:dyDescent="0.25">
      <c r="P6745" s="220"/>
      <c r="Q6745" s="366"/>
    </row>
    <row r="6746" spans="16:17" x14ac:dyDescent="0.25">
      <c r="P6746" s="220"/>
      <c r="Q6746" s="366"/>
    </row>
    <row r="6747" spans="16:17" x14ac:dyDescent="0.25">
      <c r="P6747" s="220"/>
      <c r="Q6747" s="366"/>
    </row>
    <row r="6748" spans="16:17" x14ac:dyDescent="0.25">
      <c r="P6748" s="220"/>
      <c r="Q6748" s="366"/>
    </row>
    <row r="6749" spans="16:17" x14ac:dyDescent="0.25">
      <c r="P6749" s="220"/>
      <c r="Q6749" s="366"/>
    </row>
    <row r="6750" spans="16:17" x14ac:dyDescent="0.25">
      <c r="P6750" s="220"/>
      <c r="Q6750" s="366"/>
    </row>
    <row r="6751" spans="16:17" x14ac:dyDescent="0.25">
      <c r="P6751" s="220"/>
      <c r="Q6751" s="366"/>
    </row>
    <row r="6752" spans="16:17" x14ac:dyDescent="0.25">
      <c r="P6752" s="220"/>
      <c r="Q6752" s="366"/>
    </row>
    <row r="6753" spans="16:17" x14ac:dyDescent="0.25">
      <c r="P6753" s="220"/>
      <c r="Q6753" s="366"/>
    </row>
    <row r="6754" spans="16:17" x14ac:dyDescent="0.25">
      <c r="P6754" s="220"/>
      <c r="Q6754" s="366"/>
    </row>
    <row r="6755" spans="16:17" x14ac:dyDescent="0.25">
      <c r="P6755" s="220"/>
      <c r="Q6755" s="366"/>
    </row>
    <row r="6756" spans="16:17" x14ac:dyDescent="0.25">
      <c r="P6756" s="220"/>
      <c r="Q6756" s="366"/>
    </row>
    <row r="6757" spans="16:17" x14ac:dyDescent="0.25">
      <c r="P6757" s="220"/>
      <c r="Q6757" s="366"/>
    </row>
    <row r="6758" spans="16:17" x14ac:dyDescent="0.25">
      <c r="P6758" s="220"/>
      <c r="Q6758" s="366"/>
    </row>
    <row r="6759" spans="16:17" x14ac:dyDescent="0.25">
      <c r="P6759" s="220"/>
      <c r="Q6759" s="366"/>
    </row>
    <row r="6760" spans="16:17" x14ac:dyDescent="0.25">
      <c r="P6760" s="220"/>
      <c r="Q6760" s="366"/>
    </row>
    <row r="6761" spans="16:17" x14ac:dyDescent="0.25">
      <c r="P6761" s="220"/>
      <c r="Q6761" s="366"/>
    </row>
    <row r="6762" spans="16:17" x14ac:dyDescent="0.25">
      <c r="P6762" s="220"/>
      <c r="Q6762" s="366"/>
    </row>
    <row r="6763" spans="16:17" x14ac:dyDescent="0.25">
      <c r="P6763" s="220"/>
      <c r="Q6763" s="366"/>
    </row>
    <row r="6764" spans="16:17" x14ac:dyDescent="0.25">
      <c r="P6764" s="220"/>
      <c r="Q6764" s="366"/>
    </row>
    <row r="6765" spans="16:17" x14ac:dyDescent="0.25">
      <c r="P6765" s="220"/>
      <c r="Q6765" s="366"/>
    </row>
    <row r="6766" spans="16:17" x14ac:dyDescent="0.25">
      <c r="P6766" s="220"/>
      <c r="Q6766" s="366"/>
    </row>
    <row r="6767" spans="16:17" x14ac:dyDescent="0.25">
      <c r="P6767" s="220"/>
      <c r="Q6767" s="366"/>
    </row>
    <row r="6768" spans="16:17" x14ac:dyDescent="0.25">
      <c r="P6768" s="220"/>
      <c r="Q6768" s="366"/>
    </row>
    <row r="6769" spans="16:17" x14ac:dyDescent="0.25">
      <c r="P6769" s="220"/>
      <c r="Q6769" s="366"/>
    </row>
    <row r="6770" spans="16:17" x14ac:dyDescent="0.25">
      <c r="P6770" s="220"/>
      <c r="Q6770" s="366"/>
    </row>
    <row r="6771" spans="16:17" x14ac:dyDescent="0.25">
      <c r="P6771" s="220"/>
      <c r="Q6771" s="366"/>
    </row>
    <row r="6772" spans="16:17" x14ac:dyDescent="0.25">
      <c r="P6772" s="220"/>
      <c r="Q6772" s="366"/>
    </row>
    <row r="6773" spans="16:17" x14ac:dyDescent="0.25">
      <c r="P6773" s="220"/>
      <c r="Q6773" s="366"/>
    </row>
    <row r="6774" spans="16:17" x14ac:dyDescent="0.25">
      <c r="P6774" s="220"/>
      <c r="Q6774" s="366"/>
    </row>
    <row r="6775" spans="16:17" x14ac:dyDescent="0.25">
      <c r="P6775" s="220"/>
      <c r="Q6775" s="366"/>
    </row>
    <row r="6776" spans="16:17" x14ac:dyDescent="0.25">
      <c r="P6776" s="220"/>
      <c r="Q6776" s="366"/>
    </row>
    <row r="6777" spans="16:17" x14ac:dyDescent="0.25">
      <c r="P6777" s="220"/>
      <c r="Q6777" s="366"/>
    </row>
    <row r="6778" spans="16:17" x14ac:dyDescent="0.25">
      <c r="P6778" s="220"/>
      <c r="Q6778" s="366"/>
    </row>
    <row r="6779" spans="16:17" x14ac:dyDescent="0.25">
      <c r="P6779" s="220"/>
      <c r="Q6779" s="366"/>
    </row>
    <row r="6780" spans="16:17" x14ac:dyDescent="0.25">
      <c r="P6780" s="220"/>
      <c r="Q6780" s="366"/>
    </row>
    <row r="6781" spans="16:17" x14ac:dyDescent="0.25">
      <c r="P6781" s="220"/>
      <c r="Q6781" s="366"/>
    </row>
    <row r="6782" spans="16:17" x14ac:dyDescent="0.25">
      <c r="P6782" s="220"/>
      <c r="Q6782" s="366"/>
    </row>
    <row r="6783" spans="16:17" x14ac:dyDescent="0.25">
      <c r="P6783" s="220"/>
      <c r="Q6783" s="366"/>
    </row>
    <row r="6784" spans="16:17" x14ac:dyDescent="0.25">
      <c r="P6784" s="220"/>
      <c r="Q6784" s="366"/>
    </row>
    <row r="6785" spans="16:17" x14ac:dyDescent="0.25">
      <c r="P6785" s="220"/>
      <c r="Q6785" s="366"/>
    </row>
    <row r="6786" spans="16:17" x14ac:dyDescent="0.25">
      <c r="P6786" s="220"/>
      <c r="Q6786" s="366"/>
    </row>
    <row r="6787" spans="16:17" x14ac:dyDescent="0.25">
      <c r="P6787" s="220"/>
      <c r="Q6787" s="366"/>
    </row>
    <row r="6788" spans="16:17" x14ac:dyDescent="0.25">
      <c r="P6788" s="220"/>
      <c r="Q6788" s="366"/>
    </row>
    <row r="6789" spans="16:17" x14ac:dyDescent="0.25">
      <c r="P6789" s="220"/>
      <c r="Q6789" s="366"/>
    </row>
    <row r="6790" spans="16:17" x14ac:dyDescent="0.25">
      <c r="P6790" s="220"/>
      <c r="Q6790" s="366"/>
    </row>
    <row r="6791" spans="16:17" x14ac:dyDescent="0.25">
      <c r="P6791" s="220"/>
      <c r="Q6791" s="366"/>
    </row>
    <row r="6792" spans="16:17" x14ac:dyDescent="0.25">
      <c r="P6792" s="220"/>
      <c r="Q6792" s="366"/>
    </row>
    <row r="6793" spans="16:17" x14ac:dyDescent="0.25">
      <c r="P6793" s="220"/>
      <c r="Q6793" s="366"/>
    </row>
    <row r="6794" spans="16:17" x14ac:dyDescent="0.25">
      <c r="P6794" s="220"/>
      <c r="Q6794" s="366"/>
    </row>
    <row r="6795" spans="16:17" x14ac:dyDescent="0.25">
      <c r="P6795" s="220"/>
      <c r="Q6795" s="366"/>
    </row>
    <row r="6796" spans="16:17" x14ac:dyDescent="0.25">
      <c r="P6796" s="220"/>
      <c r="Q6796" s="366"/>
    </row>
    <row r="6797" spans="16:17" x14ac:dyDescent="0.25">
      <c r="P6797" s="220"/>
      <c r="Q6797" s="366"/>
    </row>
    <row r="6798" spans="16:17" x14ac:dyDescent="0.25">
      <c r="P6798" s="220"/>
      <c r="Q6798" s="366"/>
    </row>
    <row r="6799" spans="16:17" x14ac:dyDescent="0.25">
      <c r="P6799" s="220"/>
      <c r="Q6799" s="366"/>
    </row>
    <row r="6800" spans="16:17" x14ac:dyDescent="0.25">
      <c r="P6800" s="220"/>
      <c r="Q6800" s="366"/>
    </row>
    <row r="6801" spans="16:17" x14ac:dyDescent="0.25">
      <c r="P6801" s="220"/>
      <c r="Q6801" s="366"/>
    </row>
    <row r="6802" spans="16:17" x14ac:dyDescent="0.25">
      <c r="P6802" s="220"/>
      <c r="Q6802" s="366"/>
    </row>
    <row r="6803" spans="16:17" x14ac:dyDescent="0.25">
      <c r="P6803" s="220"/>
      <c r="Q6803" s="366"/>
    </row>
    <row r="6804" spans="16:17" x14ac:dyDescent="0.25">
      <c r="P6804" s="220"/>
      <c r="Q6804" s="366"/>
    </row>
    <row r="6805" spans="16:17" x14ac:dyDescent="0.25">
      <c r="P6805" s="220"/>
      <c r="Q6805" s="366"/>
    </row>
    <row r="6806" spans="16:17" x14ac:dyDescent="0.25">
      <c r="P6806" s="220"/>
      <c r="Q6806" s="366"/>
    </row>
    <row r="6807" spans="16:17" x14ac:dyDescent="0.25">
      <c r="P6807" s="220"/>
      <c r="Q6807" s="366"/>
    </row>
    <row r="6808" spans="16:17" x14ac:dyDescent="0.25">
      <c r="P6808" s="220"/>
      <c r="Q6808" s="366"/>
    </row>
    <row r="6809" spans="16:17" x14ac:dyDescent="0.25">
      <c r="P6809" s="220"/>
      <c r="Q6809" s="366"/>
    </row>
    <row r="6810" spans="16:17" x14ac:dyDescent="0.25">
      <c r="P6810" s="220"/>
      <c r="Q6810" s="366"/>
    </row>
    <row r="6811" spans="16:17" x14ac:dyDescent="0.25">
      <c r="P6811" s="220"/>
      <c r="Q6811" s="366"/>
    </row>
    <row r="6812" spans="16:17" x14ac:dyDescent="0.25">
      <c r="P6812" s="220"/>
      <c r="Q6812" s="366"/>
    </row>
    <row r="6813" spans="16:17" x14ac:dyDescent="0.25">
      <c r="P6813" s="220"/>
      <c r="Q6813" s="366"/>
    </row>
    <row r="6814" spans="16:17" x14ac:dyDescent="0.25">
      <c r="P6814" s="220"/>
      <c r="Q6814" s="366"/>
    </row>
    <row r="6815" spans="16:17" x14ac:dyDescent="0.25">
      <c r="P6815" s="220"/>
      <c r="Q6815" s="366"/>
    </row>
    <row r="6816" spans="16:17" x14ac:dyDescent="0.25">
      <c r="P6816" s="220"/>
      <c r="Q6816" s="366"/>
    </row>
    <row r="6817" spans="16:17" x14ac:dyDescent="0.25">
      <c r="P6817" s="220"/>
      <c r="Q6817" s="366"/>
    </row>
    <row r="6818" spans="16:17" x14ac:dyDescent="0.25">
      <c r="P6818" s="220"/>
      <c r="Q6818" s="366"/>
    </row>
    <row r="6819" spans="16:17" x14ac:dyDescent="0.25">
      <c r="P6819" s="220"/>
      <c r="Q6819" s="366"/>
    </row>
    <row r="6820" spans="16:17" x14ac:dyDescent="0.25">
      <c r="P6820" s="220"/>
      <c r="Q6820" s="366"/>
    </row>
    <row r="6821" spans="16:17" x14ac:dyDescent="0.25">
      <c r="P6821" s="220"/>
      <c r="Q6821" s="366"/>
    </row>
    <row r="6822" spans="16:17" x14ac:dyDescent="0.25">
      <c r="P6822" s="220"/>
      <c r="Q6822" s="366"/>
    </row>
    <row r="6823" spans="16:17" x14ac:dyDescent="0.25">
      <c r="P6823" s="220"/>
      <c r="Q6823" s="366"/>
    </row>
    <row r="6824" spans="16:17" x14ac:dyDescent="0.25">
      <c r="P6824" s="220"/>
      <c r="Q6824" s="366"/>
    </row>
    <row r="6825" spans="16:17" x14ac:dyDescent="0.25">
      <c r="P6825" s="220"/>
      <c r="Q6825" s="366"/>
    </row>
    <row r="6826" spans="16:17" x14ac:dyDescent="0.25">
      <c r="P6826" s="220"/>
      <c r="Q6826" s="366"/>
    </row>
    <row r="6827" spans="16:17" x14ac:dyDescent="0.25">
      <c r="P6827" s="220"/>
      <c r="Q6827" s="366"/>
    </row>
    <row r="6828" spans="16:17" x14ac:dyDescent="0.25">
      <c r="P6828" s="220"/>
      <c r="Q6828" s="366"/>
    </row>
    <row r="6829" spans="16:17" x14ac:dyDescent="0.25">
      <c r="P6829" s="220"/>
      <c r="Q6829" s="366"/>
    </row>
    <row r="6830" spans="16:17" x14ac:dyDescent="0.25">
      <c r="P6830" s="220"/>
      <c r="Q6830" s="366"/>
    </row>
    <row r="6831" spans="16:17" x14ac:dyDescent="0.25">
      <c r="P6831" s="220"/>
      <c r="Q6831" s="366"/>
    </row>
    <row r="6832" spans="16:17" x14ac:dyDescent="0.25">
      <c r="P6832" s="220"/>
      <c r="Q6832" s="366"/>
    </row>
    <row r="6833" spans="16:17" x14ac:dyDescent="0.25">
      <c r="P6833" s="220"/>
      <c r="Q6833" s="366"/>
    </row>
    <row r="6834" spans="16:17" x14ac:dyDescent="0.25">
      <c r="P6834" s="220"/>
      <c r="Q6834" s="366"/>
    </row>
    <row r="6835" spans="16:17" x14ac:dyDescent="0.25">
      <c r="P6835" s="220"/>
      <c r="Q6835" s="366"/>
    </row>
    <row r="6836" spans="16:17" x14ac:dyDescent="0.25">
      <c r="P6836" s="220"/>
      <c r="Q6836" s="366"/>
    </row>
    <row r="6837" spans="16:17" x14ac:dyDescent="0.25">
      <c r="P6837" s="220"/>
      <c r="Q6837" s="366"/>
    </row>
    <row r="6838" spans="16:17" x14ac:dyDescent="0.25">
      <c r="P6838" s="220"/>
      <c r="Q6838" s="366"/>
    </row>
    <row r="6839" spans="16:17" x14ac:dyDescent="0.25">
      <c r="P6839" s="220"/>
      <c r="Q6839" s="366"/>
    </row>
    <row r="6840" spans="16:17" x14ac:dyDescent="0.25">
      <c r="P6840" s="220"/>
      <c r="Q6840" s="366"/>
    </row>
    <row r="6841" spans="16:17" x14ac:dyDescent="0.25">
      <c r="P6841" s="220"/>
      <c r="Q6841" s="366"/>
    </row>
    <row r="6842" spans="16:17" x14ac:dyDescent="0.25">
      <c r="P6842" s="220"/>
      <c r="Q6842" s="366"/>
    </row>
    <row r="6843" spans="16:17" x14ac:dyDescent="0.25">
      <c r="P6843" s="220"/>
      <c r="Q6843" s="366"/>
    </row>
    <row r="6844" spans="16:17" x14ac:dyDescent="0.25">
      <c r="P6844" s="220"/>
      <c r="Q6844" s="366"/>
    </row>
    <row r="6845" spans="16:17" x14ac:dyDescent="0.25">
      <c r="P6845" s="220"/>
      <c r="Q6845" s="366"/>
    </row>
    <row r="6846" spans="16:17" x14ac:dyDescent="0.25">
      <c r="P6846" s="220"/>
      <c r="Q6846" s="366"/>
    </row>
    <row r="6847" spans="16:17" x14ac:dyDescent="0.25">
      <c r="P6847" s="220"/>
      <c r="Q6847" s="366"/>
    </row>
    <row r="6848" spans="16:17" x14ac:dyDescent="0.25">
      <c r="P6848" s="220"/>
      <c r="Q6848" s="366"/>
    </row>
    <row r="6849" spans="16:17" x14ac:dyDescent="0.25">
      <c r="P6849" s="220"/>
      <c r="Q6849" s="366"/>
    </row>
    <row r="6850" spans="16:17" x14ac:dyDescent="0.25">
      <c r="P6850" s="220"/>
      <c r="Q6850" s="366"/>
    </row>
    <row r="6851" spans="16:17" x14ac:dyDescent="0.25">
      <c r="P6851" s="220"/>
      <c r="Q6851" s="366"/>
    </row>
    <row r="6852" spans="16:17" x14ac:dyDescent="0.25">
      <c r="P6852" s="220"/>
      <c r="Q6852" s="366"/>
    </row>
    <row r="6853" spans="16:17" x14ac:dyDescent="0.25">
      <c r="P6853" s="220"/>
      <c r="Q6853" s="366"/>
    </row>
    <row r="6854" spans="16:17" x14ac:dyDescent="0.25">
      <c r="P6854" s="220"/>
      <c r="Q6854" s="366"/>
    </row>
    <row r="6855" spans="16:17" x14ac:dyDescent="0.25">
      <c r="P6855" s="220"/>
      <c r="Q6855" s="366"/>
    </row>
    <row r="6856" spans="16:17" x14ac:dyDescent="0.25">
      <c r="P6856" s="220"/>
      <c r="Q6856" s="366"/>
    </row>
    <row r="6857" spans="16:17" x14ac:dyDescent="0.25">
      <c r="P6857" s="220"/>
      <c r="Q6857" s="366"/>
    </row>
    <row r="6858" spans="16:17" x14ac:dyDescent="0.25">
      <c r="P6858" s="220"/>
      <c r="Q6858" s="366"/>
    </row>
    <row r="6859" spans="16:17" x14ac:dyDescent="0.25">
      <c r="P6859" s="220"/>
      <c r="Q6859" s="366"/>
    </row>
    <row r="6860" spans="16:17" x14ac:dyDescent="0.25">
      <c r="P6860" s="220"/>
      <c r="Q6860" s="366"/>
    </row>
    <row r="6861" spans="16:17" x14ac:dyDescent="0.25">
      <c r="P6861" s="220"/>
      <c r="Q6861" s="366"/>
    </row>
    <row r="6862" spans="16:17" x14ac:dyDescent="0.25">
      <c r="P6862" s="220"/>
      <c r="Q6862" s="366"/>
    </row>
    <row r="6863" spans="16:17" x14ac:dyDescent="0.25">
      <c r="P6863" s="220"/>
      <c r="Q6863" s="366"/>
    </row>
    <row r="6864" spans="16:17" x14ac:dyDescent="0.25">
      <c r="P6864" s="220"/>
      <c r="Q6864" s="366"/>
    </row>
    <row r="6865" spans="16:17" x14ac:dyDescent="0.25">
      <c r="P6865" s="220"/>
      <c r="Q6865" s="366"/>
    </row>
    <row r="6866" spans="16:17" x14ac:dyDescent="0.25">
      <c r="P6866" s="220"/>
      <c r="Q6866" s="366"/>
    </row>
    <row r="6867" spans="16:17" x14ac:dyDescent="0.25">
      <c r="P6867" s="220"/>
      <c r="Q6867" s="366"/>
    </row>
    <row r="6868" spans="16:17" x14ac:dyDescent="0.25">
      <c r="P6868" s="220"/>
      <c r="Q6868" s="366"/>
    </row>
    <row r="6869" spans="16:17" x14ac:dyDescent="0.25">
      <c r="P6869" s="220"/>
      <c r="Q6869" s="366"/>
    </row>
    <row r="6870" spans="16:17" x14ac:dyDescent="0.25">
      <c r="P6870" s="220"/>
      <c r="Q6870" s="366"/>
    </row>
    <row r="6871" spans="16:17" x14ac:dyDescent="0.25">
      <c r="P6871" s="220"/>
      <c r="Q6871" s="366"/>
    </row>
    <row r="6872" spans="16:17" x14ac:dyDescent="0.25">
      <c r="P6872" s="220"/>
      <c r="Q6872" s="366"/>
    </row>
    <row r="6873" spans="16:17" x14ac:dyDescent="0.25">
      <c r="P6873" s="220"/>
      <c r="Q6873" s="366"/>
    </row>
    <row r="6874" spans="16:17" x14ac:dyDescent="0.25">
      <c r="P6874" s="220"/>
      <c r="Q6874" s="366"/>
    </row>
    <row r="6875" spans="16:17" x14ac:dyDescent="0.25">
      <c r="P6875" s="220"/>
      <c r="Q6875" s="366"/>
    </row>
    <row r="6876" spans="16:17" x14ac:dyDescent="0.25">
      <c r="P6876" s="220"/>
      <c r="Q6876" s="366"/>
    </row>
    <row r="6877" spans="16:17" x14ac:dyDescent="0.25">
      <c r="P6877" s="220"/>
      <c r="Q6877" s="366"/>
    </row>
    <row r="6878" spans="16:17" x14ac:dyDescent="0.25">
      <c r="P6878" s="220"/>
      <c r="Q6878" s="366"/>
    </row>
    <row r="6879" spans="16:17" x14ac:dyDescent="0.25">
      <c r="P6879" s="220"/>
      <c r="Q6879" s="366"/>
    </row>
    <row r="6880" spans="16:17" x14ac:dyDescent="0.25">
      <c r="P6880" s="220"/>
      <c r="Q6880" s="366"/>
    </row>
    <row r="6881" spans="16:17" x14ac:dyDescent="0.25">
      <c r="P6881" s="220"/>
      <c r="Q6881" s="366"/>
    </row>
    <row r="6882" spans="16:17" x14ac:dyDescent="0.25">
      <c r="P6882" s="220"/>
      <c r="Q6882" s="366"/>
    </row>
    <row r="6883" spans="16:17" x14ac:dyDescent="0.25">
      <c r="P6883" s="220"/>
      <c r="Q6883" s="366"/>
    </row>
    <row r="6884" spans="16:17" x14ac:dyDescent="0.25">
      <c r="P6884" s="220"/>
      <c r="Q6884" s="366"/>
    </row>
    <row r="6885" spans="16:17" x14ac:dyDescent="0.25">
      <c r="P6885" s="220"/>
      <c r="Q6885" s="366"/>
    </row>
    <row r="6886" spans="16:17" x14ac:dyDescent="0.25">
      <c r="P6886" s="220"/>
      <c r="Q6886" s="366"/>
    </row>
    <row r="6887" spans="16:17" x14ac:dyDescent="0.25">
      <c r="P6887" s="220"/>
      <c r="Q6887" s="366"/>
    </row>
    <row r="6888" spans="16:17" x14ac:dyDescent="0.25">
      <c r="P6888" s="220"/>
      <c r="Q6888" s="366"/>
    </row>
    <row r="6889" spans="16:17" x14ac:dyDescent="0.25">
      <c r="P6889" s="220"/>
      <c r="Q6889" s="366"/>
    </row>
    <row r="6890" spans="16:17" x14ac:dyDescent="0.25">
      <c r="P6890" s="220"/>
      <c r="Q6890" s="366"/>
    </row>
    <row r="6891" spans="16:17" x14ac:dyDescent="0.25">
      <c r="P6891" s="220"/>
      <c r="Q6891" s="366"/>
    </row>
    <row r="6892" spans="16:17" x14ac:dyDescent="0.25">
      <c r="P6892" s="220"/>
      <c r="Q6892" s="366"/>
    </row>
    <row r="6893" spans="16:17" x14ac:dyDescent="0.25">
      <c r="P6893" s="220"/>
      <c r="Q6893" s="366"/>
    </row>
    <row r="6894" spans="16:17" x14ac:dyDescent="0.25">
      <c r="P6894" s="220"/>
      <c r="Q6894" s="366"/>
    </row>
    <row r="6895" spans="16:17" x14ac:dyDescent="0.25">
      <c r="P6895" s="220"/>
      <c r="Q6895" s="366"/>
    </row>
    <row r="6896" spans="16:17" x14ac:dyDescent="0.25">
      <c r="P6896" s="220"/>
      <c r="Q6896" s="366"/>
    </row>
    <row r="6897" spans="16:17" x14ac:dyDescent="0.25">
      <c r="P6897" s="220"/>
      <c r="Q6897" s="366"/>
    </row>
    <row r="6898" spans="16:17" x14ac:dyDescent="0.25">
      <c r="P6898" s="220"/>
      <c r="Q6898" s="366"/>
    </row>
    <row r="6899" spans="16:17" x14ac:dyDescent="0.25">
      <c r="P6899" s="220"/>
      <c r="Q6899" s="366"/>
    </row>
    <row r="6900" spans="16:17" x14ac:dyDescent="0.25">
      <c r="P6900" s="220"/>
      <c r="Q6900" s="366"/>
    </row>
    <row r="6901" spans="16:17" x14ac:dyDescent="0.25">
      <c r="P6901" s="220"/>
      <c r="Q6901" s="366"/>
    </row>
    <row r="6902" spans="16:17" x14ac:dyDescent="0.25">
      <c r="P6902" s="220"/>
      <c r="Q6902" s="366"/>
    </row>
    <row r="6903" spans="16:17" x14ac:dyDescent="0.25">
      <c r="P6903" s="220"/>
      <c r="Q6903" s="366"/>
    </row>
    <row r="6904" spans="16:17" x14ac:dyDescent="0.25">
      <c r="P6904" s="220"/>
      <c r="Q6904" s="366"/>
    </row>
    <row r="6905" spans="16:17" x14ac:dyDescent="0.25">
      <c r="P6905" s="220"/>
      <c r="Q6905" s="366"/>
    </row>
    <row r="6906" spans="16:17" x14ac:dyDescent="0.25">
      <c r="P6906" s="220"/>
      <c r="Q6906" s="366"/>
    </row>
    <row r="6907" spans="16:17" x14ac:dyDescent="0.25">
      <c r="P6907" s="220"/>
      <c r="Q6907" s="366"/>
    </row>
    <row r="6908" spans="16:17" x14ac:dyDescent="0.25">
      <c r="P6908" s="220"/>
      <c r="Q6908" s="366"/>
    </row>
    <row r="6909" spans="16:17" x14ac:dyDescent="0.25">
      <c r="P6909" s="220"/>
      <c r="Q6909" s="366"/>
    </row>
    <row r="6910" spans="16:17" x14ac:dyDescent="0.25">
      <c r="P6910" s="220"/>
      <c r="Q6910" s="366"/>
    </row>
    <row r="6911" spans="16:17" x14ac:dyDescent="0.25">
      <c r="P6911" s="220"/>
      <c r="Q6911" s="366"/>
    </row>
    <row r="6912" spans="16:17" x14ac:dyDescent="0.25">
      <c r="P6912" s="220"/>
      <c r="Q6912" s="366"/>
    </row>
    <row r="6913" spans="16:17" x14ac:dyDescent="0.25">
      <c r="P6913" s="220"/>
      <c r="Q6913" s="366"/>
    </row>
    <row r="6914" spans="16:17" x14ac:dyDescent="0.25">
      <c r="P6914" s="220"/>
      <c r="Q6914" s="366"/>
    </row>
    <row r="6915" spans="16:17" x14ac:dyDescent="0.25">
      <c r="P6915" s="220"/>
      <c r="Q6915" s="366"/>
    </row>
    <row r="6916" spans="16:17" x14ac:dyDescent="0.25">
      <c r="P6916" s="220"/>
      <c r="Q6916" s="366"/>
    </row>
    <row r="6917" spans="16:17" x14ac:dyDescent="0.25">
      <c r="P6917" s="220"/>
      <c r="Q6917" s="366"/>
    </row>
    <row r="6918" spans="16:17" x14ac:dyDescent="0.25">
      <c r="P6918" s="220"/>
      <c r="Q6918" s="366"/>
    </row>
    <row r="6919" spans="16:17" x14ac:dyDescent="0.25">
      <c r="P6919" s="220"/>
      <c r="Q6919" s="366"/>
    </row>
    <row r="6920" spans="16:17" x14ac:dyDescent="0.25">
      <c r="P6920" s="220"/>
      <c r="Q6920" s="366"/>
    </row>
    <row r="6921" spans="16:17" x14ac:dyDescent="0.25">
      <c r="P6921" s="220"/>
      <c r="Q6921" s="366"/>
    </row>
    <row r="6922" spans="16:17" x14ac:dyDescent="0.25">
      <c r="P6922" s="220"/>
      <c r="Q6922" s="366"/>
    </row>
    <row r="6923" spans="16:17" x14ac:dyDescent="0.25">
      <c r="P6923" s="220"/>
      <c r="Q6923" s="366"/>
    </row>
    <row r="6924" spans="16:17" x14ac:dyDescent="0.25">
      <c r="P6924" s="220"/>
      <c r="Q6924" s="366"/>
    </row>
    <row r="6925" spans="16:17" x14ac:dyDescent="0.25">
      <c r="P6925" s="220"/>
      <c r="Q6925" s="366"/>
    </row>
    <row r="6926" spans="16:17" x14ac:dyDescent="0.25">
      <c r="P6926" s="220"/>
      <c r="Q6926" s="366"/>
    </row>
    <row r="6927" spans="16:17" x14ac:dyDescent="0.25">
      <c r="P6927" s="220"/>
      <c r="Q6927" s="366"/>
    </row>
    <row r="6928" spans="16:17" x14ac:dyDescent="0.25">
      <c r="P6928" s="220"/>
      <c r="Q6928" s="366"/>
    </row>
    <row r="6929" spans="16:17" x14ac:dyDescent="0.25">
      <c r="P6929" s="220"/>
      <c r="Q6929" s="366"/>
    </row>
    <row r="6930" spans="16:17" x14ac:dyDescent="0.25">
      <c r="P6930" s="220"/>
      <c r="Q6930" s="366"/>
    </row>
    <row r="6931" spans="16:17" x14ac:dyDescent="0.25">
      <c r="P6931" s="220"/>
      <c r="Q6931" s="366"/>
    </row>
    <row r="6932" spans="16:17" x14ac:dyDescent="0.25">
      <c r="P6932" s="220"/>
      <c r="Q6932" s="366"/>
    </row>
    <row r="6933" spans="16:17" x14ac:dyDescent="0.25">
      <c r="P6933" s="220"/>
      <c r="Q6933" s="366"/>
    </row>
    <row r="6934" spans="16:17" x14ac:dyDescent="0.25">
      <c r="P6934" s="220"/>
      <c r="Q6934" s="366"/>
    </row>
    <row r="6935" spans="16:17" x14ac:dyDescent="0.25">
      <c r="P6935" s="220"/>
      <c r="Q6935" s="366"/>
    </row>
    <row r="6936" spans="16:17" x14ac:dyDescent="0.25">
      <c r="P6936" s="220"/>
      <c r="Q6936" s="366"/>
    </row>
    <row r="6937" spans="16:17" x14ac:dyDescent="0.25">
      <c r="P6937" s="220"/>
      <c r="Q6937" s="366"/>
    </row>
    <row r="6938" spans="16:17" x14ac:dyDescent="0.25">
      <c r="P6938" s="220"/>
      <c r="Q6938" s="366"/>
    </row>
    <row r="6939" spans="16:17" x14ac:dyDescent="0.25">
      <c r="P6939" s="220"/>
      <c r="Q6939" s="366"/>
    </row>
    <row r="6940" spans="16:17" x14ac:dyDescent="0.25">
      <c r="P6940" s="220"/>
      <c r="Q6940" s="366"/>
    </row>
    <row r="6941" spans="16:17" x14ac:dyDescent="0.25">
      <c r="P6941" s="220"/>
      <c r="Q6941" s="366"/>
    </row>
    <row r="6942" spans="16:17" x14ac:dyDescent="0.25">
      <c r="P6942" s="220"/>
      <c r="Q6942" s="366"/>
    </row>
    <row r="6943" spans="16:17" x14ac:dyDescent="0.25">
      <c r="P6943" s="220"/>
      <c r="Q6943" s="366"/>
    </row>
    <row r="6944" spans="16:17" x14ac:dyDescent="0.25">
      <c r="P6944" s="220"/>
      <c r="Q6944" s="366"/>
    </row>
    <row r="6945" spans="16:17" x14ac:dyDescent="0.25">
      <c r="P6945" s="220"/>
      <c r="Q6945" s="366"/>
    </row>
    <row r="6946" spans="16:17" x14ac:dyDescent="0.25">
      <c r="P6946" s="220"/>
      <c r="Q6946" s="366"/>
    </row>
    <row r="6947" spans="16:17" x14ac:dyDescent="0.25">
      <c r="P6947" s="220"/>
      <c r="Q6947" s="366"/>
    </row>
    <row r="6948" spans="16:17" x14ac:dyDescent="0.25">
      <c r="P6948" s="220"/>
      <c r="Q6948" s="366"/>
    </row>
    <row r="6949" spans="16:17" x14ac:dyDescent="0.25">
      <c r="P6949" s="220"/>
      <c r="Q6949" s="366"/>
    </row>
    <row r="6950" spans="16:17" x14ac:dyDescent="0.25">
      <c r="P6950" s="220"/>
      <c r="Q6950" s="366"/>
    </row>
    <row r="6951" spans="16:17" x14ac:dyDescent="0.25">
      <c r="P6951" s="220"/>
      <c r="Q6951" s="366"/>
    </row>
    <row r="6952" spans="16:17" x14ac:dyDescent="0.25">
      <c r="P6952" s="220"/>
      <c r="Q6952" s="366"/>
    </row>
    <row r="6953" spans="16:17" x14ac:dyDescent="0.25">
      <c r="P6953" s="220"/>
      <c r="Q6953" s="366"/>
    </row>
    <row r="6954" spans="16:17" x14ac:dyDescent="0.25">
      <c r="P6954" s="220"/>
      <c r="Q6954" s="366"/>
    </row>
    <row r="6955" spans="16:17" x14ac:dyDescent="0.25">
      <c r="P6955" s="220"/>
      <c r="Q6955" s="366"/>
    </row>
    <row r="6956" spans="16:17" x14ac:dyDescent="0.25">
      <c r="P6956" s="220"/>
      <c r="Q6956" s="366"/>
    </row>
    <row r="6957" spans="16:17" x14ac:dyDescent="0.25">
      <c r="P6957" s="220"/>
      <c r="Q6957" s="366"/>
    </row>
    <row r="6958" spans="16:17" x14ac:dyDescent="0.25">
      <c r="P6958" s="220"/>
      <c r="Q6958" s="366"/>
    </row>
    <row r="6959" spans="16:17" x14ac:dyDescent="0.25">
      <c r="P6959" s="220"/>
      <c r="Q6959" s="366"/>
    </row>
    <row r="6960" spans="16:17" x14ac:dyDescent="0.25">
      <c r="P6960" s="220"/>
      <c r="Q6960" s="366"/>
    </row>
    <row r="6961" spans="16:17" x14ac:dyDescent="0.25">
      <c r="P6961" s="220"/>
      <c r="Q6961" s="366"/>
    </row>
    <row r="6962" spans="16:17" x14ac:dyDescent="0.25">
      <c r="P6962" s="220"/>
      <c r="Q6962" s="366"/>
    </row>
    <row r="6963" spans="16:17" x14ac:dyDescent="0.25">
      <c r="P6963" s="220"/>
      <c r="Q6963" s="366"/>
    </row>
    <row r="6964" spans="16:17" x14ac:dyDescent="0.25">
      <c r="P6964" s="220"/>
      <c r="Q6964" s="366"/>
    </row>
    <row r="6965" spans="16:17" x14ac:dyDescent="0.25">
      <c r="P6965" s="220"/>
      <c r="Q6965" s="366"/>
    </row>
    <row r="6966" spans="16:17" x14ac:dyDescent="0.25">
      <c r="P6966" s="220"/>
      <c r="Q6966" s="366"/>
    </row>
    <row r="6967" spans="16:17" x14ac:dyDescent="0.25">
      <c r="P6967" s="220"/>
      <c r="Q6967" s="366"/>
    </row>
    <row r="6968" spans="16:17" x14ac:dyDescent="0.25">
      <c r="P6968" s="220"/>
      <c r="Q6968" s="366"/>
    </row>
    <row r="6969" spans="16:17" x14ac:dyDescent="0.25">
      <c r="P6969" s="220"/>
      <c r="Q6969" s="366"/>
    </row>
    <row r="6970" spans="16:17" x14ac:dyDescent="0.25">
      <c r="P6970" s="220"/>
      <c r="Q6970" s="366"/>
    </row>
    <row r="6971" spans="16:17" x14ac:dyDescent="0.25">
      <c r="P6971" s="220"/>
      <c r="Q6971" s="366"/>
    </row>
    <row r="6972" spans="16:17" x14ac:dyDescent="0.25">
      <c r="P6972" s="220"/>
      <c r="Q6972" s="366"/>
    </row>
    <row r="6973" spans="16:17" x14ac:dyDescent="0.25">
      <c r="P6973" s="220"/>
      <c r="Q6973" s="366"/>
    </row>
    <row r="6974" spans="16:17" x14ac:dyDescent="0.25">
      <c r="P6974" s="220"/>
      <c r="Q6974" s="366"/>
    </row>
    <row r="6975" spans="16:17" x14ac:dyDescent="0.25">
      <c r="P6975" s="220"/>
      <c r="Q6975" s="366"/>
    </row>
    <row r="6976" spans="16:17" x14ac:dyDescent="0.25">
      <c r="P6976" s="220"/>
      <c r="Q6976" s="366"/>
    </row>
    <row r="6977" spans="16:17" x14ac:dyDescent="0.25">
      <c r="P6977" s="220"/>
      <c r="Q6977" s="366"/>
    </row>
    <row r="6978" spans="16:17" x14ac:dyDescent="0.25">
      <c r="P6978" s="220"/>
      <c r="Q6978" s="366"/>
    </row>
    <row r="6979" spans="16:17" x14ac:dyDescent="0.25">
      <c r="P6979" s="220"/>
      <c r="Q6979" s="366"/>
    </row>
    <row r="6980" spans="16:17" x14ac:dyDescent="0.25">
      <c r="P6980" s="220"/>
      <c r="Q6980" s="366"/>
    </row>
    <row r="6981" spans="16:17" x14ac:dyDescent="0.25">
      <c r="P6981" s="220"/>
      <c r="Q6981" s="366"/>
    </row>
    <row r="6982" spans="16:17" x14ac:dyDescent="0.25">
      <c r="P6982" s="220"/>
      <c r="Q6982" s="366"/>
    </row>
    <row r="6983" spans="16:17" x14ac:dyDescent="0.25">
      <c r="P6983" s="220"/>
      <c r="Q6983" s="366"/>
    </row>
    <row r="6984" spans="16:17" x14ac:dyDescent="0.25">
      <c r="P6984" s="220"/>
      <c r="Q6984" s="366"/>
    </row>
    <row r="6985" spans="16:17" x14ac:dyDescent="0.25">
      <c r="P6985" s="220"/>
      <c r="Q6985" s="366"/>
    </row>
    <row r="6986" spans="16:17" x14ac:dyDescent="0.25">
      <c r="P6986" s="220"/>
      <c r="Q6986" s="366"/>
    </row>
    <row r="6987" spans="16:17" x14ac:dyDescent="0.25">
      <c r="P6987" s="220"/>
      <c r="Q6987" s="366"/>
    </row>
    <row r="6988" spans="16:17" x14ac:dyDescent="0.25">
      <c r="P6988" s="220"/>
      <c r="Q6988" s="366"/>
    </row>
    <row r="6989" spans="16:17" x14ac:dyDescent="0.25">
      <c r="P6989" s="220"/>
      <c r="Q6989" s="366"/>
    </row>
    <row r="6990" spans="16:17" x14ac:dyDescent="0.25">
      <c r="P6990" s="220"/>
      <c r="Q6990" s="366"/>
    </row>
    <row r="6991" spans="16:17" x14ac:dyDescent="0.25">
      <c r="P6991" s="220"/>
      <c r="Q6991" s="366"/>
    </row>
    <row r="6992" spans="16:17" x14ac:dyDescent="0.25">
      <c r="P6992" s="220"/>
      <c r="Q6992" s="366"/>
    </row>
    <row r="6993" spans="16:17" x14ac:dyDescent="0.25">
      <c r="P6993" s="220"/>
      <c r="Q6993" s="366"/>
    </row>
    <row r="6994" spans="16:17" x14ac:dyDescent="0.25">
      <c r="P6994" s="220"/>
      <c r="Q6994" s="366"/>
    </row>
    <row r="6995" spans="16:17" x14ac:dyDescent="0.25">
      <c r="P6995" s="220"/>
      <c r="Q6995" s="366"/>
    </row>
    <row r="6996" spans="16:17" x14ac:dyDescent="0.25">
      <c r="P6996" s="220"/>
      <c r="Q6996" s="366"/>
    </row>
    <row r="6997" spans="16:17" x14ac:dyDescent="0.25">
      <c r="P6997" s="220"/>
      <c r="Q6997" s="366"/>
    </row>
    <row r="6998" spans="16:17" x14ac:dyDescent="0.25">
      <c r="P6998" s="220"/>
      <c r="Q6998" s="366"/>
    </row>
    <row r="6999" spans="16:17" x14ac:dyDescent="0.25">
      <c r="P6999" s="220"/>
      <c r="Q6999" s="366"/>
    </row>
    <row r="7000" spans="16:17" x14ac:dyDescent="0.25">
      <c r="P7000" s="220"/>
      <c r="Q7000" s="366"/>
    </row>
    <row r="7001" spans="16:17" x14ac:dyDescent="0.25">
      <c r="P7001" s="220"/>
      <c r="Q7001" s="366"/>
    </row>
    <row r="7002" spans="16:17" x14ac:dyDescent="0.25">
      <c r="P7002" s="220"/>
      <c r="Q7002" s="366"/>
    </row>
    <row r="7003" spans="16:17" x14ac:dyDescent="0.25">
      <c r="P7003" s="220"/>
      <c r="Q7003" s="366"/>
    </row>
    <row r="7004" spans="16:17" x14ac:dyDescent="0.25">
      <c r="P7004" s="220"/>
      <c r="Q7004" s="366"/>
    </row>
    <row r="7005" spans="16:17" x14ac:dyDescent="0.25">
      <c r="P7005" s="220"/>
      <c r="Q7005" s="366"/>
    </row>
    <row r="7006" spans="16:17" x14ac:dyDescent="0.25">
      <c r="P7006" s="220"/>
      <c r="Q7006" s="366"/>
    </row>
    <row r="7007" spans="16:17" x14ac:dyDescent="0.25">
      <c r="P7007" s="220"/>
      <c r="Q7007" s="366"/>
    </row>
    <row r="7008" spans="16:17" x14ac:dyDescent="0.25">
      <c r="P7008" s="220"/>
      <c r="Q7008" s="366"/>
    </row>
    <row r="7009" spans="16:17" x14ac:dyDescent="0.25">
      <c r="P7009" s="220"/>
      <c r="Q7009" s="366"/>
    </row>
    <row r="7010" spans="16:17" x14ac:dyDescent="0.25">
      <c r="P7010" s="220"/>
      <c r="Q7010" s="366"/>
    </row>
    <row r="7011" spans="16:17" x14ac:dyDescent="0.25">
      <c r="P7011" s="220"/>
      <c r="Q7011" s="366"/>
    </row>
    <row r="7012" spans="16:17" x14ac:dyDescent="0.25">
      <c r="P7012" s="220"/>
      <c r="Q7012" s="366"/>
    </row>
    <row r="7013" spans="16:17" x14ac:dyDescent="0.25">
      <c r="P7013" s="220"/>
      <c r="Q7013" s="366"/>
    </row>
    <row r="7014" spans="16:17" x14ac:dyDescent="0.25">
      <c r="P7014" s="220"/>
      <c r="Q7014" s="366"/>
    </row>
    <row r="7015" spans="16:17" x14ac:dyDescent="0.25">
      <c r="P7015" s="220"/>
      <c r="Q7015" s="366"/>
    </row>
    <row r="7016" spans="16:17" x14ac:dyDescent="0.25">
      <c r="P7016" s="220"/>
      <c r="Q7016" s="366"/>
    </row>
    <row r="7017" spans="16:17" x14ac:dyDescent="0.25">
      <c r="P7017" s="220"/>
      <c r="Q7017" s="366"/>
    </row>
    <row r="7018" spans="16:17" x14ac:dyDescent="0.25">
      <c r="P7018" s="220"/>
      <c r="Q7018" s="366"/>
    </row>
    <row r="7019" spans="16:17" x14ac:dyDescent="0.25">
      <c r="P7019" s="220"/>
      <c r="Q7019" s="366"/>
    </row>
    <row r="7020" spans="16:17" x14ac:dyDescent="0.25">
      <c r="P7020" s="220"/>
      <c r="Q7020" s="366"/>
    </row>
    <row r="7021" spans="16:17" x14ac:dyDescent="0.25">
      <c r="P7021" s="220"/>
      <c r="Q7021" s="366"/>
    </row>
    <row r="7022" spans="16:17" x14ac:dyDescent="0.25">
      <c r="P7022" s="220"/>
      <c r="Q7022" s="366"/>
    </row>
    <row r="7023" spans="16:17" x14ac:dyDescent="0.25">
      <c r="P7023" s="220"/>
      <c r="Q7023" s="366"/>
    </row>
    <row r="7024" spans="16:17" x14ac:dyDescent="0.25">
      <c r="P7024" s="220"/>
      <c r="Q7024" s="366"/>
    </row>
    <row r="7025" spans="16:17" x14ac:dyDescent="0.25">
      <c r="P7025" s="220"/>
      <c r="Q7025" s="366"/>
    </row>
    <row r="7026" spans="16:17" x14ac:dyDescent="0.25">
      <c r="P7026" s="220"/>
      <c r="Q7026" s="366"/>
    </row>
    <row r="7027" spans="16:17" x14ac:dyDescent="0.25">
      <c r="P7027" s="220"/>
      <c r="Q7027" s="366"/>
    </row>
    <row r="7028" spans="16:17" x14ac:dyDescent="0.25">
      <c r="P7028" s="220"/>
      <c r="Q7028" s="366"/>
    </row>
    <row r="7029" spans="16:17" x14ac:dyDescent="0.25">
      <c r="P7029" s="220"/>
      <c r="Q7029" s="366"/>
    </row>
    <row r="7030" spans="16:17" x14ac:dyDescent="0.25">
      <c r="P7030" s="220"/>
      <c r="Q7030" s="366"/>
    </row>
    <row r="7031" spans="16:17" x14ac:dyDescent="0.25">
      <c r="P7031" s="220"/>
      <c r="Q7031" s="366"/>
    </row>
    <row r="7032" spans="16:17" x14ac:dyDescent="0.25">
      <c r="P7032" s="220"/>
      <c r="Q7032" s="366"/>
    </row>
    <row r="7033" spans="16:17" x14ac:dyDescent="0.25">
      <c r="P7033" s="220"/>
      <c r="Q7033" s="366"/>
    </row>
    <row r="7034" spans="16:17" x14ac:dyDescent="0.25">
      <c r="P7034" s="220"/>
      <c r="Q7034" s="366"/>
    </row>
    <row r="7035" spans="16:17" x14ac:dyDescent="0.25">
      <c r="P7035" s="220"/>
      <c r="Q7035" s="366"/>
    </row>
    <row r="7036" spans="16:17" x14ac:dyDescent="0.25">
      <c r="P7036" s="220"/>
      <c r="Q7036" s="366"/>
    </row>
    <row r="7037" spans="16:17" x14ac:dyDescent="0.25">
      <c r="P7037" s="220"/>
      <c r="Q7037" s="366"/>
    </row>
    <row r="7038" spans="16:17" x14ac:dyDescent="0.25">
      <c r="P7038" s="220"/>
      <c r="Q7038" s="366"/>
    </row>
    <row r="7039" spans="16:17" x14ac:dyDescent="0.25">
      <c r="P7039" s="220"/>
      <c r="Q7039" s="366"/>
    </row>
    <row r="7040" spans="16:17" x14ac:dyDescent="0.25">
      <c r="P7040" s="220"/>
      <c r="Q7040" s="366"/>
    </row>
    <row r="7041" spans="16:17" x14ac:dyDescent="0.25">
      <c r="P7041" s="220"/>
      <c r="Q7041" s="366"/>
    </row>
    <row r="7042" spans="16:17" x14ac:dyDescent="0.25">
      <c r="P7042" s="220"/>
      <c r="Q7042" s="366"/>
    </row>
    <row r="7043" spans="16:17" x14ac:dyDescent="0.25">
      <c r="P7043" s="220"/>
      <c r="Q7043" s="366"/>
    </row>
    <row r="7044" spans="16:17" x14ac:dyDescent="0.25">
      <c r="P7044" s="220"/>
      <c r="Q7044" s="366"/>
    </row>
    <row r="7045" spans="16:17" x14ac:dyDescent="0.25">
      <c r="P7045" s="220"/>
      <c r="Q7045" s="366"/>
    </row>
    <row r="7046" spans="16:17" x14ac:dyDescent="0.25">
      <c r="P7046" s="220"/>
      <c r="Q7046" s="366"/>
    </row>
    <row r="7047" spans="16:17" x14ac:dyDescent="0.25">
      <c r="P7047" s="220"/>
      <c r="Q7047" s="366"/>
    </row>
    <row r="7048" spans="16:17" x14ac:dyDescent="0.25">
      <c r="P7048" s="220"/>
      <c r="Q7048" s="366"/>
    </row>
    <row r="7049" spans="16:17" x14ac:dyDescent="0.25">
      <c r="P7049" s="220"/>
      <c r="Q7049" s="366"/>
    </row>
    <row r="7050" spans="16:17" x14ac:dyDescent="0.25">
      <c r="P7050" s="220"/>
      <c r="Q7050" s="366"/>
    </row>
    <row r="7051" spans="16:17" x14ac:dyDescent="0.25">
      <c r="P7051" s="220"/>
      <c r="Q7051" s="366"/>
    </row>
    <row r="7052" spans="16:17" x14ac:dyDescent="0.25">
      <c r="P7052" s="220"/>
      <c r="Q7052" s="366"/>
    </row>
    <row r="7053" spans="16:17" x14ac:dyDescent="0.25">
      <c r="P7053" s="220"/>
      <c r="Q7053" s="366"/>
    </row>
    <row r="7054" spans="16:17" x14ac:dyDescent="0.25">
      <c r="P7054" s="220"/>
      <c r="Q7054" s="366"/>
    </row>
    <row r="7055" spans="16:17" x14ac:dyDescent="0.25">
      <c r="P7055" s="220"/>
      <c r="Q7055" s="366"/>
    </row>
    <row r="7056" spans="16:17" x14ac:dyDescent="0.25">
      <c r="P7056" s="220"/>
      <c r="Q7056" s="366"/>
    </row>
    <row r="7057" spans="16:17" x14ac:dyDescent="0.25">
      <c r="P7057" s="220"/>
      <c r="Q7057" s="366"/>
    </row>
    <row r="7058" spans="16:17" x14ac:dyDescent="0.25">
      <c r="P7058" s="220"/>
      <c r="Q7058" s="366"/>
    </row>
    <row r="7059" spans="16:17" x14ac:dyDescent="0.25">
      <c r="P7059" s="220"/>
      <c r="Q7059" s="366"/>
    </row>
    <row r="7060" spans="16:17" x14ac:dyDescent="0.25">
      <c r="P7060" s="220"/>
      <c r="Q7060" s="366"/>
    </row>
    <row r="7061" spans="16:17" x14ac:dyDescent="0.25">
      <c r="P7061" s="220"/>
      <c r="Q7061" s="366"/>
    </row>
    <row r="7062" spans="16:17" x14ac:dyDescent="0.25">
      <c r="P7062" s="220"/>
      <c r="Q7062" s="366"/>
    </row>
    <row r="7063" spans="16:17" x14ac:dyDescent="0.25">
      <c r="P7063" s="220"/>
      <c r="Q7063" s="366"/>
    </row>
    <row r="7064" spans="16:17" x14ac:dyDescent="0.25">
      <c r="P7064" s="220"/>
      <c r="Q7064" s="366"/>
    </row>
    <row r="7065" spans="16:17" x14ac:dyDescent="0.25">
      <c r="P7065" s="220"/>
      <c r="Q7065" s="366"/>
    </row>
    <row r="7066" spans="16:17" x14ac:dyDescent="0.25">
      <c r="P7066" s="220"/>
      <c r="Q7066" s="366"/>
    </row>
    <row r="7067" spans="16:17" x14ac:dyDescent="0.25">
      <c r="P7067" s="220"/>
      <c r="Q7067" s="366"/>
    </row>
    <row r="7068" spans="16:17" x14ac:dyDescent="0.25">
      <c r="P7068" s="220"/>
      <c r="Q7068" s="366"/>
    </row>
    <row r="7069" spans="16:17" x14ac:dyDescent="0.25">
      <c r="P7069" s="220"/>
      <c r="Q7069" s="366"/>
    </row>
    <row r="7070" spans="16:17" x14ac:dyDescent="0.25">
      <c r="P7070" s="220"/>
      <c r="Q7070" s="366"/>
    </row>
    <row r="7071" spans="16:17" x14ac:dyDescent="0.25">
      <c r="P7071" s="220"/>
      <c r="Q7071" s="366"/>
    </row>
    <row r="7072" spans="16:17" x14ac:dyDescent="0.25">
      <c r="P7072" s="220"/>
      <c r="Q7072" s="366"/>
    </row>
    <row r="7073" spans="16:17" x14ac:dyDescent="0.25">
      <c r="P7073" s="220"/>
      <c r="Q7073" s="366"/>
    </row>
    <row r="7074" spans="16:17" x14ac:dyDescent="0.25">
      <c r="P7074" s="220"/>
      <c r="Q7074" s="366"/>
    </row>
    <row r="7075" spans="16:17" x14ac:dyDescent="0.25">
      <c r="P7075" s="220"/>
      <c r="Q7075" s="366"/>
    </row>
    <row r="7076" spans="16:17" x14ac:dyDescent="0.25">
      <c r="P7076" s="220"/>
      <c r="Q7076" s="366"/>
    </row>
    <row r="7077" spans="16:17" x14ac:dyDescent="0.25">
      <c r="P7077" s="220"/>
      <c r="Q7077" s="366"/>
    </row>
    <row r="7078" spans="16:17" x14ac:dyDescent="0.25">
      <c r="P7078" s="220"/>
      <c r="Q7078" s="366"/>
    </row>
    <row r="7079" spans="16:17" x14ac:dyDescent="0.25">
      <c r="P7079" s="220"/>
      <c r="Q7079" s="366"/>
    </row>
    <row r="7080" spans="16:17" x14ac:dyDescent="0.25">
      <c r="P7080" s="220"/>
      <c r="Q7080" s="366"/>
    </row>
    <row r="7081" spans="16:17" x14ac:dyDescent="0.25">
      <c r="P7081" s="220"/>
      <c r="Q7081" s="366"/>
    </row>
    <row r="7082" spans="16:17" x14ac:dyDescent="0.25">
      <c r="P7082" s="220"/>
      <c r="Q7082" s="366"/>
    </row>
    <row r="7083" spans="16:17" x14ac:dyDescent="0.25">
      <c r="P7083" s="220"/>
      <c r="Q7083" s="366"/>
    </row>
    <row r="7084" spans="16:17" x14ac:dyDescent="0.25">
      <c r="P7084" s="220"/>
      <c r="Q7084" s="366"/>
    </row>
    <row r="7085" spans="16:17" x14ac:dyDescent="0.25">
      <c r="P7085" s="220"/>
      <c r="Q7085" s="366"/>
    </row>
    <row r="7086" spans="16:17" x14ac:dyDescent="0.25">
      <c r="P7086" s="220"/>
      <c r="Q7086" s="366"/>
    </row>
    <row r="7087" spans="16:17" x14ac:dyDescent="0.25">
      <c r="P7087" s="220"/>
      <c r="Q7087" s="366"/>
    </row>
    <row r="7088" spans="16:17" x14ac:dyDescent="0.25">
      <c r="P7088" s="220"/>
      <c r="Q7088" s="366"/>
    </row>
    <row r="7089" spans="16:17" x14ac:dyDescent="0.25">
      <c r="P7089" s="220"/>
      <c r="Q7089" s="366"/>
    </row>
    <row r="7090" spans="16:17" x14ac:dyDescent="0.25">
      <c r="P7090" s="220"/>
      <c r="Q7090" s="366"/>
    </row>
    <row r="7091" spans="16:17" x14ac:dyDescent="0.25">
      <c r="P7091" s="220"/>
      <c r="Q7091" s="366"/>
    </row>
    <row r="7092" spans="16:17" x14ac:dyDescent="0.25">
      <c r="P7092" s="220"/>
      <c r="Q7092" s="366"/>
    </row>
    <row r="7093" spans="16:17" x14ac:dyDescent="0.25">
      <c r="P7093" s="220"/>
      <c r="Q7093" s="366"/>
    </row>
    <row r="7094" spans="16:17" x14ac:dyDescent="0.25">
      <c r="P7094" s="220"/>
      <c r="Q7094" s="366"/>
    </row>
    <row r="7095" spans="16:17" x14ac:dyDescent="0.25">
      <c r="P7095" s="220"/>
      <c r="Q7095" s="366"/>
    </row>
    <row r="7096" spans="16:17" x14ac:dyDescent="0.25">
      <c r="P7096" s="220"/>
      <c r="Q7096" s="366"/>
    </row>
    <row r="7097" spans="16:17" x14ac:dyDescent="0.25">
      <c r="P7097" s="220"/>
      <c r="Q7097" s="366"/>
    </row>
    <row r="7098" spans="16:17" x14ac:dyDescent="0.25">
      <c r="P7098" s="220"/>
      <c r="Q7098" s="366"/>
    </row>
    <row r="7099" spans="16:17" x14ac:dyDescent="0.25">
      <c r="P7099" s="220"/>
      <c r="Q7099" s="366"/>
    </row>
    <row r="7100" spans="16:17" x14ac:dyDescent="0.25">
      <c r="P7100" s="220"/>
      <c r="Q7100" s="366"/>
    </row>
    <row r="7101" spans="16:17" x14ac:dyDescent="0.25">
      <c r="P7101" s="220"/>
      <c r="Q7101" s="366"/>
    </row>
    <row r="7102" spans="16:17" x14ac:dyDescent="0.25">
      <c r="P7102" s="220"/>
      <c r="Q7102" s="366"/>
    </row>
    <row r="7103" spans="16:17" x14ac:dyDescent="0.25">
      <c r="P7103" s="220"/>
      <c r="Q7103" s="366"/>
    </row>
    <row r="7104" spans="16:17" x14ac:dyDescent="0.25">
      <c r="P7104" s="220"/>
      <c r="Q7104" s="366"/>
    </row>
    <row r="7105" spans="16:17" x14ac:dyDescent="0.25">
      <c r="P7105" s="220"/>
      <c r="Q7105" s="366"/>
    </row>
    <row r="7106" spans="16:17" x14ac:dyDescent="0.25">
      <c r="P7106" s="220"/>
      <c r="Q7106" s="366"/>
    </row>
    <row r="7107" spans="16:17" x14ac:dyDescent="0.25">
      <c r="P7107" s="220"/>
      <c r="Q7107" s="366"/>
    </row>
    <row r="7108" spans="16:17" x14ac:dyDescent="0.25">
      <c r="P7108" s="220"/>
      <c r="Q7108" s="366"/>
    </row>
    <row r="7109" spans="16:17" x14ac:dyDescent="0.25">
      <c r="P7109" s="220"/>
      <c r="Q7109" s="366"/>
    </row>
    <row r="7110" spans="16:17" x14ac:dyDescent="0.25">
      <c r="P7110" s="220"/>
      <c r="Q7110" s="366"/>
    </row>
    <row r="7111" spans="16:17" x14ac:dyDescent="0.25">
      <c r="P7111" s="220"/>
      <c r="Q7111" s="366"/>
    </row>
    <row r="7112" spans="16:17" x14ac:dyDescent="0.25">
      <c r="P7112" s="220"/>
      <c r="Q7112" s="366"/>
    </row>
    <row r="7113" spans="16:17" x14ac:dyDescent="0.25">
      <c r="P7113" s="220"/>
      <c r="Q7113" s="366"/>
    </row>
    <row r="7114" spans="16:17" x14ac:dyDescent="0.25">
      <c r="P7114" s="220"/>
      <c r="Q7114" s="366"/>
    </row>
    <row r="7115" spans="16:17" x14ac:dyDescent="0.25">
      <c r="P7115" s="220"/>
      <c r="Q7115" s="366"/>
    </row>
    <row r="7116" spans="16:17" x14ac:dyDescent="0.25">
      <c r="P7116" s="220"/>
      <c r="Q7116" s="366"/>
    </row>
    <row r="7117" spans="16:17" x14ac:dyDescent="0.25">
      <c r="P7117" s="220"/>
      <c r="Q7117" s="366"/>
    </row>
    <row r="7118" spans="16:17" x14ac:dyDescent="0.25">
      <c r="P7118" s="220"/>
      <c r="Q7118" s="366"/>
    </row>
    <row r="7119" spans="16:17" x14ac:dyDescent="0.25">
      <c r="P7119" s="220"/>
      <c r="Q7119" s="366"/>
    </row>
    <row r="7120" spans="16:17" x14ac:dyDescent="0.25">
      <c r="P7120" s="220"/>
      <c r="Q7120" s="366"/>
    </row>
    <row r="7121" spans="16:17" x14ac:dyDescent="0.25">
      <c r="P7121" s="220"/>
      <c r="Q7121" s="366"/>
    </row>
    <row r="7122" spans="16:17" x14ac:dyDescent="0.25">
      <c r="P7122" s="220"/>
      <c r="Q7122" s="366"/>
    </row>
    <row r="7123" spans="16:17" x14ac:dyDescent="0.25">
      <c r="P7123" s="220"/>
      <c r="Q7123" s="366"/>
    </row>
    <row r="7124" spans="16:17" x14ac:dyDescent="0.25">
      <c r="P7124" s="220"/>
      <c r="Q7124" s="366"/>
    </row>
    <row r="7125" spans="16:17" x14ac:dyDescent="0.25">
      <c r="P7125" s="220"/>
      <c r="Q7125" s="366"/>
    </row>
    <row r="7126" spans="16:17" x14ac:dyDescent="0.25">
      <c r="P7126" s="220"/>
      <c r="Q7126" s="366"/>
    </row>
    <row r="7127" spans="16:17" x14ac:dyDescent="0.25">
      <c r="P7127" s="220"/>
      <c r="Q7127" s="366"/>
    </row>
    <row r="7128" spans="16:17" x14ac:dyDescent="0.25">
      <c r="P7128" s="220"/>
      <c r="Q7128" s="366"/>
    </row>
    <row r="7129" spans="16:17" x14ac:dyDescent="0.25">
      <c r="P7129" s="220"/>
      <c r="Q7129" s="366"/>
    </row>
    <row r="7130" spans="16:17" x14ac:dyDescent="0.25">
      <c r="P7130" s="220"/>
      <c r="Q7130" s="366"/>
    </row>
    <row r="7131" spans="16:17" x14ac:dyDescent="0.25">
      <c r="P7131" s="220"/>
      <c r="Q7131" s="366"/>
    </row>
    <row r="7132" spans="16:17" x14ac:dyDescent="0.25">
      <c r="P7132" s="220"/>
      <c r="Q7132" s="366"/>
    </row>
    <row r="7133" spans="16:17" x14ac:dyDescent="0.25">
      <c r="P7133" s="220"/>
      <c r="Q7133" s="366"/>
    </row>
    <row r="7134" spans="16:17" x14ac:dyDescent="0.25">
      <c r="P7134" s="220"/>
      <c r="Q7134" s="366"/>
    </row>
    <row r="7135" spans="16:17" x14ac:dyDescent="0.25">
      <c r="P7135" s="220"/>
      <c r="Q7135" s="366"/>
    </row>
    <row r="7136" spans="16:17" x14ac:dyDescent="0.25">
      <c r="P7136" s="220"/>
      <c r="Q7136" s="366"/>
    </row>
    <row r="7137" spans="16:17" x14ac:dyDescent="0.25">
      <c r="P7137" s="220"/>
      <c r="Q7137" s="366"/>
    </row>
    <row r="7138" spans="16:17" x14ac:dyDescent="0.25">
      <c r="P7138" s="220"/>
      <c r="Q7138" s="366"/>
    </row>
    <row r="7139" spans="16:17" x14ac:dyDescent="0.25">
      <c r="P7139" s="220"/>
      <c r="Q7139" s="366"/>
    </row>
    <row r="7140" spans="16:17" x14ac:dyDescent="0.25">
      <c r="P7140" s="220"/>
      <c r="Q7140" s="366"/>
    </row>
    <row r="7141" spans="16:17" x14ac:dyDescent="0.25">
      <c r="P7141" s="220"/>
      <c r="Q7141" s="366"/>
    </row>
    <row r="7142" spans="16:17" x14ac:dyDescent="0.25">
      <c r="P7142" s="220"/>
      <c r="Q7142" s="366"/>
    </row>
    <row r="7143" spans="16:17" x14ac:dyDescent="0.25">
      <c r="P7143" s="220"/>
      <c r="Q7143" s="366"/>
    </row>
    <row r="7144" spans="16:17" x14ac:dyDescent="0.25">
      <c r="P7144" s="220"/>
      <c r="Q7144" s="366"/>
    </row>
    <row r="7145" spans="16:17" x14ac:dyDescent="0.25">
      <c r="P7145" s="220"/>
      <c r="Q7145" s="366"/>
    </row>
    <row r="7146" spans="16:17" x14ac:dyDescent="0.25">
      <c r="P7146" s="220"/>
      <c r="Q7146" s="366"/>
    </row>
    <row r="7147" spans="16:17" x14ac:dyDescent="0.25">
      <c r="P7147" s="220"/>
      <c r="Q7147" s="366"/>
    </row>
    <row r="7148" spans="16:17" x14ac:dyDescent="0.25">
      <c r="P7148" s="220"/>
      <c r="Q7148" s="366"/>
    </row>
    <row r="7149" spans="16:17" x14ac:dyDescent="0.25">
      <c r="P7149" s="220"/>
      <c r="Q7149" s="366"/>
    </row>
    <row r="7150" spans="16:17" x14ac:dyDescent="0.25">
      <c r="P7150" s="220"/>
      <c r="Q7150" s="366"/>
    </row>
    <row r="7151" spans="16:17" x14ac:dyDescent="0.25">
      <c r="P7151" s="220"/>
      <c r="Q7151" s="366"/>
    </row>
    <row r="7152" spans="16:17" x14ac:dyDescent="0.25">
      <c r="P7152" s="220"/>
      <c r="Q7152" s="366"/>
    </row>
    <row r="7153" spans="16:17" x14ac:dyDescent="0.25">
      <c r="P7153" s="220"/>
      <c r="Q7153" s="366"/>
    </row>
    <row r="7154" spans="16:17" x14ac:dyDescent="0.25">
      <c r="P7154" s="220"/>
      <c r="Q7154" s="366"/>
    </row>
    <row r="7155" spans="16:17" x14ac:dyDescent="0.25">
      <c r="P7155" s="220"/>
      <c r="Q7155" s="366"/>
    </row>
    <row r="7156" spans="16:17" x14ac:dyDescent="0.25">
      <c r="P7156" s="220"/>
      <c r="Q7156" s="366"/>
    </row>
    <row r="7157" spans="16:17" x14ac:dyDescent="0.25">
      <c r="P7157" s="220"/>
      <c r="Q7157" s="366"/>
    </row>
    <row r="7158" spans="16:17" x14ac:dyDescent="0.25">
      <c r="P7158" s="220"/>
      <c r="Q7158" s="366"/>
    </row>
    <row r="7159" spans="16:17" x14ac:dyDescent="0.25">
      <c r="P7159" s="220"/>
      <c r="Q7159" s="366"/>
    </row>
    <row r="7160" spans="16:17" x14ac:dyDescent="0.25">
      <c r="P7160" s="220"/>
      <c r="Q7160" s="366"/>
    </row>
    <row r="7161" spans="16:17" x14ac:dyDescent="0.25">
      <c r="P7161" s="220"/>
      <c r="Q7161" s="366"/>
    </row>
    <row r="7162" spans="16:17" x14ac:dyDescent="0.25">
      <c r="P7162" s="220"/>
      <c r="Q7162" s="366"/>
    </row>
    <row r="7163" spans="16:17" x14ac:dyDescent="0.25">
      <c r="P7163" s="220"/>
      <c r="Q7163" s="366"/>
    </row>
    <row r="7164" spans="16:17" x14ac:dyDescent="0.25">
      <c r="P7164" s="220"/>
      <c r="Q7164" s="366"/>
    </row>
    <row r="7165" spans="16:17" x14ac:dyDescent="0.25">
      <c r="P7165" s="220"/>
      <c r="Q7165" s="366"/>
    </row>
    <row r="7166" spans="16:17" x14ac:dyDescent="0.25">
      <c r="P7166" s="220"/>
      <c r="Q7166" s="366"/>
    </row>
    <row r="7167" spans="16:17" x14ac:dyDescent="0.25">
      <c r="P7167" s="220"/>
      <c r="Q7167" s="366"/>
    </row>
    <row r="7168" spans="16:17" x14ac:dyDescent="0.25">
      <c r="P7168" s="220"/>
      <c r="Q7168" s="366"/>
    </row>
    <row r="7169" spans="16:17" x14ac:dyDescent="0.25">
      <c r="P7169" s="220"/>
      <c r="Q7169" s="366"/>
    </row>
    <row r="7170" spans="16:17" x14ac:dyDescent="0.25">
      <c r="P7170" s="220"/>
      <c r="Q7170" s="366"/>
    </row>
    <row r="7171" spans="16:17" x14ac:dyDescent="0.25">
      <c r="P7171" s="220"/>
      <c r="Q7171" s="366"/>
    </row>
    <row r="7172" spans="16:17" x14ac:dyDescent="0.25">
      <c r="P7172" s="220"/>
      <c r="Q7172" s="366"/>
    </row>
    <row r="7173" spans="16:17" x14ac:dyDescent="0.25">
      <c r="P7173" s="220"/>
      <c r="Q7173" s="366"/>
    </row>
    <row r="7174" spans="16:17" x14ac:dyDescent="0.25">
      <c r="P7174" s="220"/>
      <c r="Q7174" s="366"/>
    </row>
    <row r="7175" spans="16:17" x14ac:dyDescent="0.25">
      <c r="P7175" s="220"/>
      <c r="Q7175" s="366"/>
    </row>
    <row r="7176" spans="16:17" x14ac:dyDescent="0.25">
      <c r="P7176" s="220"/>
      <c r="Q7176" s="366"/>
    </row>
    <row r="7177" spans="16:17" x14ac:dyDescent="0.25">
      <c r="P7177" s="220"/>
      <c r="Q7177" s="366"/>
    </row>
    <row r="7178" spans="16:17" x14ac:dyDescent="0.25">
      <c r="P7178" s="220"/>
      <c r="Q7178" s="366"/>
    </row>
    <row r="7179" spans="16:17" x14ac:dyDescent="0.25">
      <c r="P7179" s="220"/>
      <c r="Q7179" s="366"/>
    </row>
    <row r="7180" spans="16:17" x14ac:dyDescent="0.25">
      <c r="P7180" s="220"/>
      <c r="Q7180" s="366"/>
    </row>
    <row r="7181" spans="16:17" x14ac:dyDescent="0.25">
      <c r="P7181" s="220"/>
      <c r="Q7181" s="366"/>
    </row>
    <row r="7182" spans="16:17" x14ac:dyDescent="0.25">
      <c r="P7182" s="220"/>
      <c r="Q7182" s="366"/>
    </row>
    <row r="7183" spans="16:17" x14ac:dyDescent="0.25">
      <c r="P7183" s="220"/>
      <c r="Q7183" s="366"/>
    </row>
    <row r="7184" spans="16:17" x14ac:dyDescent="0.25">
      <c r="P7184" s="220"/>
      <c r="Q7184" s="366"/>
    </row>
    <row r="7185" spans="16:17" x14ac:dyDescent="0.25">
      <c r="P7185" s="220"/>
      <c r="Q7185" s="366"/>
    </row>
    <row r="7186" spans="16:17" x14ac:dyDescent="0.25">
      <c r="P7186" s="220"/>
      <c r="Q7186" s="366"/>
    </row>
    <row r="7187" spans="16:17" x14ac:dyDescent="0.25">
      <c r="P7187" s="220"/>
      <c r="Q7187" s="366"/>
    </row>
    <row r="7188" spans="16:17" x14ac:dyDescent="0.25">
      <c r="P7188" s="220"/>
      <c r="Q7188" s="366"/>
    </row>
    <row r="7189" spans="16:17" x14ac:dyDescent="0.25">
      <c r="P7189" s="220"/>
      <c r="Q7189" s="366"/>
    </row>
    <row r="7190" spans="16:17" x14ac:dyDescent="0.25">
      <c r="P7190" s="220"/>
      <c r="Q7190" s="366"/>
    </row>
    <row r="7191" spans="16:17" x14ac:dyDescent="0.25">
      <c r="P7191" s="220"/>
      <c r="Q7191" s="366"/>
    </row>
    <row r="7192" spans="16:17" x14ac:dyDescent="0.25">
      <c r="P7192" s="220"/>
      <c r="Q7192" s="366"/>
    </row>
    <row r="7193" spans="16:17" x14ac:dyDescent="0.25">
      <c r="P7193" s="220"/>
      <c r="Q7193" s="366"/>
    </row>
    <row r="7194" spans="16:17" x14ac:dyDescent="0.25">
      <c r="P7194" s="220"/>
      <c r="Q7194" s="366"/>
    </row>
    <row r="7195" spans="16:17" x14ac:dyDescent="0.25">
      <c r="P7195" s="220"/>
      <c r="Q7195" s="366"/>
    </row>
    <row r="7196" spans="16:17" x14ac:dyDescent="0.25">
      <c r="P7196" s="220"/>
      <c r="Q7196" s="366"/>
    </row>
    <row r="7197" spans="16:17" x14ac:dyDescent="0.25">
      <c r="P7197" s="220"/>
      <c r="Q7197" s="366"/>
    </row>
    <row r="7198" spans="16:17" x14ac:dyDescent="0.25">
      <c r="P7198" s="220"/>
      <c r="Q7198" s="366"/>
    </row>
    <row r="7199" spans="16:17" x14ac:dyDescent="0.25">
      <c r="P7199" s="220"/>
      <c r="Q7199" s="366"/>
    </row>
    <row r="7200" spans="16:17" x14ac:dyDescent="0.25">
      <c r="P7200" s="220"/>
      <c r="Q7200" s="366"/>
    </row>
    <row r="7201" spans="16:17" x14ac:dyDescent="0.25">
      <c r="P7201" s="220"/>
      <c r="Q7201" s="366"/>
    </row>
    <row r="7202" spans="16:17" x14ac:dyDescent="0.25">
      <c r="P7202" s="220"/>
      <c r="Q7202" s="366"/>
    </row>
    <row r="7203" spans="16:17" x14ac:dyDescent="0.25">
      <c r="P7203" s="220"/>
      <c r="Q7203" s="366"/>
    </row>
    <row r="7204" spans="16:17" x14ac:dyDescent="0.25">
      <c r="P7204" s="220"/>
      <c r="Q7204" s="366"/>
    </row>
    <row r="7205" spans="16:17" x14ac:dyDescent="0.25">
      <c r="P7205" s="220"/>
      <c r="Q7205" s="366"/>
    </row>
    <row r="7206" spans="16:17" x14ac:dyDescent="0.25">
      <c r="P7206" s="220"/>
      <c r="Q7206" s="366"/>
    </row>
    <row r="7207" spans="16:17" x14ac:dyDescent="0.25">
      <c r="P7207" s="220"/>
      <c r="Q7207" s="366"/>
    </row>
    <row r="7208" spans="16:17" x14ac:dyDescent="0.25">
      <c r="P7208" s="220"/>
      <c r="Q7208" s="366"/>
    </row>
    <row r="7209" spans="16:17" x14ac:dyDescent="0.25">
      <c r="P7209" s="220"/>
      <c r="Q7209" s="366"/>
    </row>
    <row r="7210" spans="16:17" x14ac:dyDescent="0.25">
      <c r="P7210" s="220"/>
      <c r="Q7210" s="366"/>
    </row>
    <row r="7211" spans="16:17" x14ac:dyDescent="0.25">
      <c r="P7211" s="220"/>
      <c r="Q7211" s="366"/>
    </row>
    <row r="7212" spans="16:17" x14ac:dyDescent="0.25">
      <c r="P7212" s="220"/>
      <c r="Q7212" s="366"/>
    </row>
    <row r="7213" spans="16:17" x14ac:dyDescent="0.25">
      <c r="P7213" s="220"/>
      <c r="Q7213" s="366"/>
    </row>
    <row r="7214" spans="16:17" x14ac:dyDescent="0.25">
      <c r="P7214" s="220"/>
      <c r="Q7214" s="366"/>
    </row>
    <row r="7215" spans="16:17" x14ac:dyDescent="0.25">
      <c r="P7215" s="220"/>
      <c r="Q7215" s="366"/>
    </row>
    <row r="7216" spans="16:17" x14ac:dyDescent="0.25">
      <c r="P7216" s="220"/>
      <c r="Q7216" s="366"/>
    </row>
    <row r="7217" spans="16:17" x14ac:dyDescent="0.25">
      <c r="P7217" s="220"/>
      <c r="Q7217" s="366"/>
    </row>
    <row r="7218" spans="16:17" x14ac:dyDescent="0.25">
      <c r="P7218" s="220"/>
      <c r="Q7218" s="366"/>
    </row>
    <row r="7219" spans="16:17" x14ac:dyDescent="0.25">
      <c r="P7219" s="220"/>
      <c r="Q7219" s="366"/>
    </row>
    <row r="7220" spans="16:17" x14ac:dyDescent="0.25">
      <c r="P7220" s="220"/>
      <c r="Q7220" s="366"/>
    </row>
    <row r="7221" spans="16:17" x14ac:dyDescent="0.25">
      <c r="P7221" s="220"/>
      <c r="Q7221" s="366"/>
    </row>
    <row r="7222" spans="16:17" x14ac:dyDescent="0.25">
      <c r="P7222" s="220"/>
      <c r="Q7222" s="366"/>
    </row>
    <row r="7223" spans="16:17" x14ac:dyDescent="0.25">
      <c r="P7223" s="220"/>
      <c r="Q7223" s="366"/>
    </row>
    <row r="7224" spans="16:17" x14ac:dyDescent="0.25">
      <c r="P7224" s="220"/>
      <c r="Q7224" s="366"/>
    </row>
    <row r="7225" spans="16:17" x14ac:dyDescent="0.25">
      <c r="P7225" s="220"/>
      <c r="Q7225" s="366"/>
    </row>
    <row r="7226" spans="16:17" x14ac:dyDescent="0.25">
      <c r="P7226" s="220"/>
      <c r="Q7226" s="366"/>
    </row>
    <row r="7227" spans="16:17" x14ac:dyDescent="0.25">
      <c r="P7227" s="220"/>
      <c r="Q7227" s="366"/>
    </row>
    <row r="7228" spans="16:17" x14ac:dyDescent="0.25">
      <c r="P7228" s="220"/>
      <c r="Q7228" s="366"/>
    </row>
    <row r="7229" spans="16:17" x14ac:dyDescent="0.25">
      <c r="P7229" s="220"/>
      <c r="Q7229" s="366"/>
    </row>
    <row r="7230" spans="16:17" x14ac:dyDescent="0.25">
      <c r="P7230" s="220"/>
      <c r="Q7230" s="366"/>
    </row>
    <row r="7231" spans="16:17" x14ac:dyDescent="0.25">
      <c r="P7231" s="220"/>
      <c r="Q7231" s="366"/>
    </row>
    <row r="7232" spans="16:17" x14ac:dyDescent="0.25">
      <c r="P7232" s="220"/>
      <c r="Q7232" s="366"/>
    </row>
    <row r="7233" spans="16:17" x14ac:dyDescent="0.25">
      <c r="P7233" s="220"/>
      <c r="Q7233" s="366"/>
    </row>
    <row r="7234" spans="16:17" x14ac:dyDescent="0.25">
      <c r="P7234" s="220"/>
      <c r="Q7234" s="366"/>
    </row>
    <row r="7235" spans="16:17" x14ac:dyDescent="0.25">
      <c r="P7235" s="220"/>
      <c r="Q7235" s="366"/>
    </row>
    <row r="7236" spans="16:17" x14ac:dyDescent="0.25">
      <c r="P7236" s="220"/>
      <c r="Q7236" s="366"/>
    </row>
    <row r="7237" spans="16:17" x14ac:dyDescent="0.25">
      <c r="P7237" s="220"/>
      <c r="Q7237" s="366"/>
    </row>
    <row r="7238" spans="16:17" x14ac:dyDescent="0.25">
      <c r="P7238" s="220"/>
      <c r="Q7238" s="366"/>
    </row>
    <row r="7239" spans="16:17" x14ac:dyDescent="0.25">
      <c r="P7239" s="220"/>
      <c r="Q7239" s="366"/>
    </row>
    <row r="7240" spans="16:17" x14ac:dyDescent="0.25">
      <c r="P7240" s="220"/>
      <c r="Q7240" s="366"/>
    </row>
    <row r="7241" spans="16:17" x14ac:dyDescent="0.25">
      <c r="P7241" s="220"/>
      <c r="Q7241" s="366"/>
    </row>
    <row r="7242" spans="16:17" x14ac:dyDescent="0.25">
      <c r="P7242" s="220"/>
      <c r="Q7242" s="366"/>
    </row>
    <row r="7243" spans="16:17" x14ac:dyDescent="0.25">
      <c r="P7243" s="220"/>
      <c r="Q7243" s="366"/>
    </row>
    <row r="7244" spans="16:17" x14ac:dyDescent="0.25">
      <c r="P7244" s="220"/>
      <c r="Q7244" s="366"/>
    </row>
    <row r="7245" spans="16:17" x14ac:dyDescent="0.25">
      <c r="P7245" s="220"/>
      <c r="Q7245" s="366"/>
    </row>
    <row r="7246" spans="16:17" x14ac:dyDescent="0.25">
      <c r="P7246" s="220"/>
      <c r="Q7246" s="366"/>
    </row>
    <row r="7247" spans="16:17" x14ac:dyDescent="0.25">
      <c r="P7247" s="220"/>
      <c r="Q7247" s="366"/>
    </row>
    <row r="7248" spans="16:17" x14ac:dyDescent="0.25">
      <c r="P7248" s="220"/>
      <c r="Q7248" s="366"/>
    </row>
    <row r="7249" spans="16:17" x14ac:dyDescent="0.25">
      <c r="P7249" s="220"/>
      <c r="Q7249" s="366"/>
    </row>
    <row r="7250" spans="16:17" x14ac:dyDescent="0.25">
      <c r="P7250" s="220"/>
      <c r="Q7250" s="366"/>
    </row>
    <row r="7251" spans="16:17" x14ac:dyDescent="0.25">
      <c r="P7251" s="220"/>
      <c r="Q7251" s="366"/>
    </row>
    <row r="7252" spans="16:17" x14ac:dyDescent="0.25">
      <c r="P7252" s="220"/>
      <c r="Q7252" s="366"/>
    </row>
    <row r="7253" spans="16:17" x14ac:dyDescent="0.25">
      <c r="P7253" s="220"/>
      <c r="Q7253" s="366"/>
    </row>
    <row r="7254" spans="16:17" x14ac:dyDescent="0.25">
      <c r="P7254" s="220"/>
      <c r="Q7254" s="366"/>
    </row>
    <row r="7255" spans="16:17" x14ac:dyDescent="0.25">
      <c r="P7255" s="220"/>
      <c r="Q7255" s="366"/>
    </row>
    <row r="7256" spans="16:17" x14ac:dyDescent="0.25">
      <c r="P7256" s="220"/>
      <c r="Q7256" s="366"/>
    </row>
    <row r="7257" spans="16:17" x14ac:dyDescent="0.25">
      <c r="P7257" s="220"/>
      <c r="Q7257" s="366"/>
    </row>
    <row r="7258" spans="16:17" x14ac:dyDescent="0.25">
      <c r="P7258" s="220"/>
      <c r="Q7258" s="366"/>
    </row>
    <row r="7259" spans="16:17" x14ac:dyDescent="0.25">
      <c r="P7259" s="220"/>
      <c r="Q7259" s="366"/>
    </row>
    <row r="7260" spans="16:17" x14ac:dyDescent="0.25">
      <c r="P7260" s="220"/>
      <c r="Q7260" s="366"/>
    </row>
    <row r="7261" spans="16:17" x14ac:dyDescent="0.25">
      <c r="P7261" s="220"/>
      <c r="Q7261" s="366"/>
    </row>
    <row r="7262" spans="16:17" x14ac:dyDescent="0.25">
      <c r="P7262" s="220"/>
      <c r="Q7262" s="366"/>
    </row>
    <row r="7263" spans="16:17" x14ac:dyDescent="0.25">
      <c r="P7263" s="220"/>
      <c r="Q7263" s="366"/>
    </row>
    <row r="7264" spans="16:17" x14ac:dyDescent="0.25">
      <c r="P7264" s="220"/>
      <c r="Q7264" s="366"/>
    </row>
    <row r="7265" spans="16:17" x14ac:dyDescent="0.25">
      <c r="P7265" s="220"/>
      <c r="Q7265" s="366"/>
    </row>
    <row r="7266" spans="16:17" x14ac:dyDescent="0.25">
      <c r="P7266" s="220"/>
      <c r="Q7266" s="366"/>
    </row>
    <row r="7267" spans="16:17" x14ac:dyDescent="0.25">
      <c r="P7267" s="220"/>
      <c r="Q7267" s="366"/>
    </row>
    <row r="7268" spans="16:17" x14ac:dyDescent="0.25">
      <c r="P7268" s="220"/>
      <c r="Q7268" s="366"/>
    </row>
    <row r="7269" spans="16:17" x14ac:dyDescent="0.25">
      <c r="P7269" s="220"/>
      <c r="Q7269" s="366"/>
    </row>
    <row r="7270" spans="16:17" x14ac:dyDescent="0.25">
      <c r="P7270" s="220"/>
      <c r="Q7270" s="366"/>
    </row>
    <row r="7271" spans="16:17" x14ac:dyDescent="0.25">
      <c r="P7271" s="220"/>
      <c r="Q7271" s="366"/>
    </row>
    <row r="7272" spans="16:17" x14ac:dyDescent="0.25">
      <c r="P7272" s="220"/>
      <c r="Q7272" s="366"/>
    </row>
    <row r="7273" spans="16:17" x14ac:dyDescent="0.25">
      <c r="P7273" s="220"/>
      <c r="Q7273" s="366"/>
    </row>
    <row r="7274" spans="16:17" x14ac:dyDescent="0.25">
      <c r="P7274" s="220"/>
      <c r="Q7274" s="366"/>
    </row>
    <row r="7275" spans="16:17" x14ac:dyDescent="0.25">
      <c r="P7275" s="220"/>
      <c r="Q7275" s="366"/>
    </row>
    <row r="7276" spans="16:17" x14ac:dyDescent="0.25">
      <c r="P7276" s="220"/>
      <c r="Q7276" s="366"/>
    </row>
    <row r="7277" spans="16:17" x14ac:dyDescent="0.25">
      <c r="P7277" s="220"/>
      <c r="Q7277" s="366"/>
    </row>
    <row r="7278" spans="16:17" x14ac:dyDescent="0.25">
      <c r="P7278" s="220"/>
      <c r="Q7278" s="366"/>
    </row>
    <row r="7279" spans="16:17" x14ac:dyDescent="0.25">
      <c r="P7279" s="220"/>
      <c r="Q7279" s="366"/>
    </row>
    <row r="7280" spans="16:17" x14ac:dyDescent="0.25">
      <c r="P7280" s="220"/>
      <c r="Q7280" s="366"/>
    </row>
    <row r="7281" spans="16:17" x14ac:dyDescent="0.25">
      <c r="P7281" s="220"/>
      <c r="Q7281" s="366"/>
    </row>
    <row r="7282" spans="16:17" x14ac:dyDescent="0.25">
      <c r="P7282" s="220"/>
      <c r="Q7282" s="366"/>
    </row>
    <row r="7283" spans="16:17" x14ac:dyDescent="0.25">
      <c r="P7283" s="220"/>
      <c r="Q7283" s="366"/>
    </row>
    <row r="7284" spans="16:17" x14ac:dyDescent="0.25">
      <c r="P7284" s="220"/>
      <c r="Q7284" s="366"/>
    </row>
    <row r="7285" spans="16:17" x14ac:dyDescent="0.25">
      <c r="P7285" s="220"/>
      <c r="Q7285" s="366"/>
    </row>
    <row r="7286" spans="16:17" x14ac:dyDescent="0.25">
      <c r="P7286" s="220"/>
      <c r="Q7286" s="366"/>
    </row>
    <row r="7287" spans="16:17" x14ac:dyDescent="0.25">
      <c r="P7287" s="220"/>
      <c r="Q7287" s="366"/>
    </row>
    <row r="7288" spans="16:17" x14ac:dyDescent="0.25">
      <c r="P7288" s="220"/>
      <c r="Q7288" s="366"/>
    </row>
    <row r="7289" spans="16:17" x14ac:dyDescent="0.25">
      <c r="P7289" s="220"/>
      <c r="Q7289" s="366"/>
    </row>
    <row r="7290" spans="16:17" x14ac:dyDescent="0.25">
      <c r="P7290" s="220"/>
      <c r="Q7290" s="366"/>
    </row>
    <row r="7291" spans="16:17" x14ac:dyDescent="0.25">
      <c r="P7291" s="220"/>
      <c r="Q7291" s="366"/>
    </row>
    <row r="7292" spans="16:17" x14ac:dyDescent="0.25">
      <c r="P7292" s="220"/>
      <c r="Q7292" s="366"/>
    </row>
    <row r="7293" spans="16:17" x14ac:dyDescent="0.25">
      <c r="P7293" s="220"/>
      <c r="Q7293" s="366"/>
    </row>
    <row r="7294" spans="16:17" x14ac:dyDescent="0.25">
      <c r="P7294" s="220"/>
      <c r="Q7294" s="366"/>
    </row>
    <row r="7295" spans="16:17" x14ac:dyDescent="0.25">
      <c r="P7295" s="220"/>
      <c r="Q7295" s="366"/>
    </row>
    <row r="7296" spans="16:17" x14ac:dyDescent="0.25">
      <c r="P7296" s="220"/>
      <c r="Q7296" s="366"/>
    </row>
    <row r="7297" spans="16:17" x14ac:dyDescent="0.25">
      <c r="P7297" s="220"/>
      <c r="Q7297" s="366"/>
    </row>
    <row r="7298" spans="16:17" x14ac:dyDescent="0.25">
      <c r="P7298" s="220"/>
      <c r="Q7298" s="366"/>
    </row>
    <row r="7299" spans="16:17" x14ac:dyDescent="0.25">
      <c r="P7299" s="220"/>
      <c r="Q7299" s="366"/>
    </row>
    <row r="7300" spans="16:17" x14ac:dyDescent="0.25">
      <c r="P7300" s="220"/>
      <c r="Q7300" s="366"/>
    </row>
    <row r="7301" spans="16:17" x14ac:dyDescent="0.25">
      <c r="P7301" s="220"/>
      <c r="Q7301" s="366"/>
    </row>
    <row r="7302" spans="16:17" x14ac:dyDescent="0.25">
      <c r="P7302" s="220"/>
      <c r="Q7302" s="366"/>
    </row>
    <row r="7303" spans="16:17" x14ac:dyDescent="0.25">
      <c r="P7303" s="220"/>
      <c r="Q7303" s="366"/>
    </row>
    <row r="7304" spans="16:17" x14ac:dyDescent="0.25">
      <c r="P7304" s="220"/>
      <c r="Q7304" s="366"/>
    </row>
    <row r="7305" spans="16:17" x14ac:dyDescent="0.25">
      <c r="P7305" s="220"/>
      <c r="Q7305" s="366"/>
    </row>
    <row r="7306" spans="16:17" x14ac:dyDescent="0.25">
      <c r="P7306" s="220"/>
      <c r="Q7306" s="366"/>
    </row>
    <row r="7307" spans="16:17" x14ac:dyDescent="0.25">
      <c r="P7307" s="220"/>
      <c r="Q7307" s="366"/>
    </row>
    <row r="7308" spans="16:17" x14ac:dyDescent="0.25">
      <c r="P7308" s="220"/>
      <c r="Q7308" s="366"/>
    </row>
    <row r="7309" spans="16:17" x14ac:dyDescent="0.25">
      <c r="P7309" s="220"/>
      <c r="Q7309" s="366"/>
    </row>
    <row r="7310" spans="16:17" x14ac:dyDescent="0.25">
      <c r="P7310" s="220"/>
      <c r="Q7310" s="366"/>
    </row>
    <row r="7311" spans="16:17" x14ac:dyDescent="0.25">
      <c r="P7311" s="220"/>
      <c r="Q7311" s="366"/>
    </row>
    <row r="7312" spans="16:17" x14ac:dyDescent="0.25">
      <c r="P7312" s="220"/>
      <c r="Q7312" s="366"/>
    </row>
    <row r="7313" spans="16:17" x14ac:dyDescent="0.25">
      <c r="P7313" s="220"/>
      <c r="Q7313" s="366"/>
    </row>
    <row r="7314" spans="16:17" x14ac:dyDescent="0.25">
      <c r="P7314" s="220"/>
      <c r="Q7314" s="366"/>
    </row>
    <row r="7315" spans="16:17" x14ac:dyDescent="0.25">
      <c r="P7315" s="220"/>
      <c r="Q7315" s="366"/>
    </row>
    <row r="7316" spans="16:17" x14ac:dyDescent="0.25">
      <c r="P7316" s="220"/>
      <c r="Q7316" s="366"/>
    </row>
    <row r="7317" spans="16:17" x14ac:dyDescent="0.25">
      <c r="P7317" s="220"/>
      <c r="Q7317" s="366"/>
    </row>
    <row r="7318" spans="16:17" x14ac:dyDescent="0.25">
      <c r="P7318" s="220"/>
      <c r="Q7318" s="366"/>
    </row>
    <row r="7319" spans="16:17" x14ac:dyDescent="0.25">
      <c r="P7319" s="220"/>
      <c r="Q7319" s="366"/>
    </row>
    <row r="7320" spans="16:17" x14ac:dyDescent="0.25">
      <c r="P7320" s="220"/>
      <c r="Q7320" s="366"/>
    </row>
    <row r="7321" spans="16:17" x14ac:dyDescent="0.25">
      <c r="P7321" s="220"/>
      <c r="Q7321" s="366"/>
    </row>
    <row r="7322" spans="16:17" x14ac:dyDescent="0.25">
      <c r="P7322" s="220"/>
      <c r="Q7322" s="366"/>
    </row>
    <row r="7323" spans="16:17" x14ac:dyDescent="0.25">
      <c r="P7323" s="220"/>
      <c r="Q7323" s="366"/>
    </row>
    <row r="7324" spans="16:17" x14ac:dyDescent="0.25">
      <c r="P7324" s="220"/>
      <c r="Q7324" s="366"/>
    </row>
    <row r="7325" spans="16:17" x14ac:dyDescent="0.25">
      <c r="P7325" s="220"/>
      <c r="Q7325" s="366"/>
    </row>
    <row r="7326" spans="16:17" x14ac:dyDescent="0.25">
      <c r="P7326" s="220"/>
      <c r="Q7326" s="366"/>
    </row>
    <row r="7327" spans="16:17" x14ac:dyDescent="0.25">
      <c r="P7327" s="220"/>
      <c r="Q7327" s="366"/>
    </row>
    <row r="7328" spans="16:17" x14ac:dyDescent="0.25">
      <c r="P7328" s="220"/>
      <c r="Q7328" s="366"/>
    </row>
    <row r="7329" spans="16:17" x14ac:dyDescent="0.25">
      <c r="P7329" s="220"/>
      <c r="Q7329" s="366"/>
    </row>
    <row r="7330" spans="16:17" x14ac:dyDescent="0.25">
      <c r="P7330" s="220"/>
      <c r="Q7330" s="366"/>
    </row>
    <row r="7331" spans="16:17" x14ac:dyDescent="0.25">
      <c r="P7331" s="220"/>
      <c r="Q7331" s="366"/>
    </row>
    <row r="7332" spans="16:17" x14ac:dyDescent="0.25">
      <c r="P7332" s="220"/>
      <c r="Q7332" s="366"/>
    </row>
    <row r="7333" spans="16:17" x14ac:dyDescent="0.25">
      <c r="P7333" s="220"/>
      <c r="Q7333" s="366"/>
    </row>
    <row r="7334" spans="16:17" x14ac:dyDescent="0.25">
      <c r="P7334" s="220"/>
      <c r="Q7334" s="366"/>
    </row>
    <row r="7335" spans="16:17" x14ac:dyDescent="0.25">
      <c r="P7335" s="220"/>
      <c r="Q7335" s="366"/>
    </row>
    <row r="7336" spans="16:17" x14ac:dyDescent="0.25">
      <c r="P7336" s="220"/>
      <c r="Q7336" s="366"/>
    </row>
    <row r="7337" spans="16:17" x14ac:dyDescent="0.25">
      <c r="P7337" s="220"/>
      <c r="Q7337" s="366"/>
    </row>
    <row r="7338" spans="16:17" x14ac:dyDescent="0.25">
      <c r="P7338" s="220"/>
      <c r="Q7338" s="366"/>
    </row>
    <row r="7339" spans="16:17" x14ac:dyDescent="0.25">
      <c r="P7339" s="220"/>
      <c r="Q7339" s="366"/>
    </row>
    <row r="7340" spans="16:17" x14ac:dyDescent="0.25">
      <c r="P7340" s="220"/>
      <c r="Q7340" s="366"/>
    </row>
    <row r="7341" spans="16:17" x14ac:dyDescent="0.25">
      <c r="P7341" s="220"/>
      <c r="Q7341" s="366"/>
    </row>
    <row r="7342" spans="16:17" x14ac:dyDescent="0.25">
      <c r="P7342" s="220"/>
      <c r="Q7342" s="366"/>
    </row>
    <row r="7343" spans="16:17" x14ac:dyDescent="0.25">
      <c r="P7343" s="220"/>
      <c r="Q7343" s="366"/>
    </row>
    <row r="7344" spans="16:17" x14ac:dyDescent="0.25">
      <c r="P7344" s="220"/>
      <c r="Q7344" s="366"/>
    </row>
    <row r="7345" spans="16:17" x14ac:dyDescent="0.25">
      <c r="P7345" s="220"/>
      <c r="Q7345" s="366"/>
    </row>
    <row r="7346" spans="16:17" x14ac:dyDescent="0.25">
      <c r="P7346" s="220"/>
      <c r="Q7346" s="366"/>
    </row>
    <row r="7347" spans="16:17" x14ac:dyDescent="0.25">
      <c r="P7347" s="220"/>
      <c r="Q7347" s="366"/>
    </row>
    <row r="7348" spans="16:17" x14ac:dyDescent="0.25">
      <c r="P7348" s="220"/>
      <c r="Q7348" s="366"/>
    </row>
    <row r="7349" spans="16:17" x14ac:dyDescent="0.25">
      <c r="P7349" s="220"/>
      <c r="Q7349" s="366"/>
    </row>
    <row r="7350" spans="16:17" x14ac:dyDescent="0.25">
      <c r="P7350" s="220"/>
      <c r="Q7350" s="366"/>
    </row>
    <row r="7351" spans="16:17" x14ac:dyDescent="0.25">
      <c r="P7351" s="220"/>
      <c r="Q7351" s="366"/>
    </row>
    <row r="7352" spans="16:17" x14ac:dyDescent="0.25">
      <c r="P7352" s="220"/>
      <c r="Q7352" s="366"/>
    </row>
    <row r="7353" spans="16:17" x14ac:dyDescent="0.25">
      <c r="P7353" s="220"/>
      <c r="Q7353" s="366"/>
    </row>
    <row r="7354" spans="16:17" x14ac:dyDescent="0.25">
      <c r="P7354" s="220"/>
      <c r="Q7354" s="366"/>
    </row>
    <row r="7355" spans="16:17" x14ac:dyDescent="0.25">
      <c r="P7355" s="220"/>
      <c r="Q7355" s="366"/>
    </row>
    <row r="7356" spans="16:17" x14ac:dyDescent="0.25">
      <c r="P7356" s="220"/>
      <c r="Q7356" s="366"/>
    </row>
    <row r="7357" spans="16:17" x14ac:dyDescent="0.25">
      <c r="P7357" s="220"/>
      <c r="Q7357" s="366"/>
    </row>
    <row r="7358" spans="16:17" x14ac:dyDescent="0.25">
      <c r="P7358" s="220"/>
      <c r="Q7358" s="366"/>
    </row>
    <row r="7359" spans="16:17" x14ac:dyDescent="0.25">
      <c r="P7359" s="220"/>
      <c r="Q7359" s="366"/>
    </row>
    <row r="7360" spans="16:17" x14ac:dyDescent="0.25">
      <c r="P7360" s="220"/>
      <c r="Q7360" s="366"/>
    </row>
    <row r="7361" spans="16:17" x14ac:dyDescent="0.25">
      <c r="P7361" s="220"/>
      <c r="Q7361" s="366"/>
    </row>
    <row r="7362" spans="16:17" x14ac:dyDescent="0.25">
      <c r="P7362" s="220"/>
      <c r="Q7362" s="366"/>
    </row>
    <row r="7363" spans="16:17" x14ac:dyDescent="0.25">
      <c r="P7363" s="220"/>
      <c r="Q7363" s="366"/>
    </row>
    <row r="7364" spans="16:17" x14ac:dyDescent="0.25">
      <c r="P7364" s="220"/>
      <c r="Q7364" s="366"/>
    </row>
    <row r="7365" spans="16:17" x14ac:dyDescent="0.25">
      <c r="P7365" s="220"/>
      <c r="Q7365" s="366"/>
    </row>
    <row r="7366" spans="16:17" x14ac:dyDescent="0.25">
      <c r="P7366" s="220"/>
      <c r="Q7366" s="366"/>
    </row>
    <row r="7367" spans="16:17" x14ac:dyDescent="0.25">
      <c r="P7367" s="220"/>
      <c r="Q7367" s="366"/>
    </row>
    <row r="7368" spans="16:17" x14ac:dyDescent="0.25">
      <c r="P7368" s="220"/>
      <c r="Q7368" s="366"/>
    </row>
    <row r="7369" spans="16:17" x14ac:dyDescent="0.25">
      <c r="P7369" s="220"/>
      <c r="Q7369" s="366"/>
    </row>
    <row r="7370" spans="16:17" x14ac:dyDescent="0.25">
      <c r="P7370" s="220"/>
      <c r="Q7370" s="366"/>
    </row>
    <row r="7371" spans="16:17" x14ac:dyDescent="0.25">
      <c r="P7371" s="220"/>
      <c r="Q7371" s="366"/>
    </row>
    <row r="7372" spans="16:17" x14ac:dyDescent="0.25">
      <c r="P7372" s="220"/>
      <c r="Q7372" s="366"/>
    </row>
    <row r="7373" spans="16:17" x14ac:dyDescent="0.25">
      <c r="P7373" s="220"/>
      <c r="Q7373" s="366"/>
    </row>
    <row r="7374" spans="16:17" x14ac:dyDescent="0.25">
      <c r="P7374" s="220"/>
      <c r="Q7374" s="366"/>
    </row>
    <row r="7375" spans="16:17" x14ac:dyDescent="0.25">
      <c r="P7375" s="220"/>
      <c r="Q7375" s="366"/>
    </row>
    <row r="7376" spans="16:17" x14ac:dyDescent="0.25">
      <c r="P7376" s="220"/>
      <c r="Q7376" s="366"/>
    </row>
    <row r="7377" spans="16:17" x14ac:dyDescent="0.25">
      <c r="P7377" s="220"/>
      <c r="Q7377" s="366"/>
    </row>
    <row r="7378" spans="16:17" x14ac:dyDescent="0.25">
      <c r="P7378" s="220"/>
      <c r="Q7378" s="366"/>
    </row>
    <row r="7379" spans="16:17" x14ac:dyDescent="0.25">
      <c r="P7379" s="220"/>
      <c r="Q7379" s="366"/>
    </row>
    <row r="7380" spans="16:17" x14ac:dyDescent="0.25">
      <c r="P7380" s="220"/>
      <c r="Q7380" s="366"/>
    </row>
    <row r="7381" spans="16:17" x14ac:dyDescent="0.25">
      <c r="P7381" s="220"/>
      <c r="Q7381" s="366"/>
    </row>
    <row r="7382" spans="16:17" x14ac:dyDescent="0.25">
      <c r="P7382" s="220"/>
      <c r="Q7382" s="366"/>
    </row>
    <row r="7383" spans="16:17" x14ac:dyDescent="0.25">
      <c r="P7383" s="220"/>
      <c r="Q7383" s="366"/>
    </row>
    <row r="7384" spans="16:17" x14ac:dyDescent="0.25">
      <c r="P7384" s="220"/>
      <c r="Q7384" s="366"/>
    </row>
    <row r="7385" spans="16:17" x14ac:dyDescent="0.25">
      <c r="P7385" s="220"/>
      <c r="Q7385" s="366"/>
    </row>
    <row r="7386" spans="16:17" x14ac:dyDescent="0.25">
      <c r="P7386" s="220"/>
      <c r="Q7386" s="366"/>
    </row>
    <row r="7387" spans="16:17" x14ac:dyDescent="0.25">
      <c r="P7387" s="220"/>
      <c r="Q7387" s="366"/>
    </row>
    <row r="7388" spans="16:17" x14ac:dyDescent="0.25">
      <c r="P7388" s="220"/>
      <c r="Q7388" s="366"/>
    </row>
    <row r="7389" spans="16:17" x14ac:dyDescent="0.25">
      <c r="P7389" s="220"/>
      <c r="Q7389" s="366"/>
    </row>
    <row r="7390" spans="16:17" x14ac:dyDescent="0.25">
      <c r="P7390" s="220"/>
      <c r="Q7390" s="366"/>
    </row>
    <row r="7391" spans="16:17" x14ac:dyDescent="0.25">
      <c r="P7391" s="220"/>
      <c r="Q7391" s="366"/>
    </row>
    <row r="7392" spans="16:17" x14ac:dyDescent="0.25">
      <c r="P7392" s="220"/>
      <c r="Q7392" s="366"/>
    </row>
    <row r="7393" spans="16:17" x14ac:dyDescent="0.25">
      <c r="P7393" s="220"/>
      <c r="Q7393" s="366"/>
    </row>
    <row r="7394" spans="16:17" x14ac:dyDescent="0.25">
      <c r="P7394" s="220"/>
      <c r="Q7394" s="366"/>
    </row>
    <row r="7395" spans="16:17" x14ac:dyDescent="0.25">
      <c r="P7395" s="220"/>
      <c r="Q7395" s="366"/>
    </row>
    <row r="7396" spans="16:17" x14ac:dyDescent="0.25">
      <c r="P7396" s="220"/>
      <c r="Q7396" s="366"/>
    </row>
    <row r="7397" spans="16:17" x14ac:dyDescent="0.25">
      <c r="P7397" s="220"/>
      <c r="Q7397" s="366"/>
    </row>
    <row r="7398" spans="16:17" x14ac:dyDescent="0.25">
      <c r="P7398" s="220"/>
      <c r="Q7398" s="366"/>
    </row>
    <row r="7399" spans="16:17" x14ac:dyDescent="0.25">
      <c r="P7399" s="220"/>
      <c r="Q7399" s="366"/>
    </row>
    <row r="7400" spans="16:17" x14ac:dyDescent="0.25">
      <c r="P7400" s="220"/>
      <c r="Q7400" s="366"/>
    </row>
    <row r="7401" spans="16:17" x14ac:dyDescent="0.25">
      <c r="P7401" s="220"/>
      <c r="Q7401" s="366"/>
    </row>
    <row r="7402" spans="16:17" x14ac:dyDescent="0.25">
      <c r="P7402" s="220"/>
      <c r="Q7402" s="366"/>
    </row>
    <row r="7403" spans="16:17" x14ac:dyDescent="0.25">
      <c r="P7403" s="220"/>
      <c r="Q7403" s="366"/>
    </row>
    <row r="7404" spans="16:17" x14ac:dyDescent="0.25">
      <c r="P7404" s="220"/>
      <c r="Q7404" s="366"/>
    </row>
    <row r="7405" spans="16:17" x14ac:dyDescent="0.25">
      <c r="P7405" s="220"/>
      <c r="Q7405" s="366"/>
    </row>
    <row r="7406" spans="16:17" x14ac:dyDescent="0.25">
      <c r="P7406" s="220"/>
      <c r="Q7406" s="366"/>
    </row>
    <row r="7407" spans="16:17" x14ac:dyDescent="0.25">
      <c r="P7407" s="220"/>
      <c r="Q7407" s="366"/>
    </row>
    <row r="7408" spans="16:17" x14ac:dyDescent="0.25">
      <c r="P7408" s="220"/>
      <c r="Q7408" s="366"/>
    </row>
    <row r="7409" spans="16:17" x14ac:dyDescent="0.25">
      <c r="P7409" s="220"/>
      <c r="Q7409" s="366"/>
    </row>
    <row r="7410" spans="16:17" x14ac:dyDescent="0.25">
      <c r="P7410" s="220"/>
      <c r="Q7410" s="366"/>
    </row>
    <row r="7411" spans="16:17" x14ac:dyDescent="0.25">
      <c r="P7411" s="220"/>
      <c r="Q7411" s="366"/>
    </row>
    <row r="7412" spans="16:17" x14ac:dyDescent="0.25">
      <c r="P7412" s="220"/>
      <c r="Q7412" s="366"/>
    </row>
    <row r="7413" spans="16:17" x14ac:dyDescent="0.25">
      <c r="P7413" s="220"/>
      <c r="Q7413" s="366"/>
    </row>
    <row r="7414" spans="16:17" x14ac:dyDescent="0.25">
      <c r="P7414" s="220"/>
      <c r="Q7414" s="366"/>
    </row>
    <row r="7415" spans="16:17" x14ac:dyDescent="0.25">
      <c r="P7415" s="220"/>
      <c r="Q7415" s="366"/>
    </row>
    <row r="7416" spans="16:17" x14ac:dyDescent="0.25">
      <c r="P7416" s="220"/>
      <c r="Q7416" s="366"/>
    </row>
    <row r="7417" spans="16:17" x14ac:dyDescent="0.25">
      <c r="P7417" s="220"/>
      <c r="Q7417" s="366"/>
    </row>
    <row r="7418" spans="16:17" x14ac:dyDescent="0.25">
      <c r="P7418" s="220"/>
      <c r="Q7418" s="366"/>
    </row>
    <row r="7419" spans="16:17" x14ac:dyDescent="0.25">
      <c r="P7419" s="220"/>
      <c r="Q7419" s="366"/>
    </row>
    <row r="7420" spans="16:17" x14ac:dyDescent="0.25">
      <c r="P7420" s="220"/>
      <c r="Q7420" s="366"/>
    </row>
    <row r="7421" spans="16:17" x14ac:dyDescent="0.25">
      <c r="P7421" s="220"/>
      <c r="Q7421" s="366"/>
    </row>
    <row r="7422" spans="16:17" x14ac:dyDescent="0.25">
      <c r="P7422" s="220"/>
      <c r="Q7422" s="366"/>
    </row>
    <row r="7423" spans="16:17" x14ac:dyDescent="0.25">
      <c r="P7423" s="220"/>
      <c r="Q7423" s="366"/>
    </row>
    <row r="7424" spans="16:17" x14ac:dyDescent="0.25">
      <c r="P7424" s="220"/>
      <c r="Q7424" s="366"/>
    </row>
    <row r="7425" spans="16:17" x14ac:dyDescent="0.25">
      <c r="P7425" s="220"/>
      <c r="Q7425" s="366"/>
    </row>
    <row r="7426" spans="16:17" x14ac:dyDescent="0.25">
      <c r="P7426" s="220"/>
      <c r="Q7426" s="366"/>
    </row>
    <row r="7427" spans="16:17" x14ac:dyDescent="0.25">
      <c r="P7427" s="220"/>
      <c r="Q7427" s="366"/>
    </row>
    <row r="7428" spans="16:17" x14ac:dyDescent="0.25">
      <c r="P7428" s="220"/>
      <c r="Q7428" s="366"/>
    </row>
    <row r="7429" spans="16:17" x14ac:dyDescent="0.25">
      <c r="P7429" s="220"/>
      <c r="Q7429" s="366"/>
    </row>
    <row r="7430" spans="16:17" x14ac:dyDescent="0.25">
      <c r="P7430" s="220"/>
      <c r="Q7430" s="366"/>
    </row>
    <row r="7431" spans="16:17" x14ac:dyDescent="0.25">
      <c r="P7431" s="220"/>
      <c r="Q7431" s="366"/>
    </row>
    <row r="7432" spans="16:17" x14ac:dyDescent="0.25">
      <c r="P7432" s="220"/>
      <c r="Q7432" s="366"/>
    </row>
    <row r="7433" spans="16:17" x14ac:dyDescent="0.25">
      <c r="P7433" s="220"/>
      <c r="Q7433" s="366"/>
    </row>
    <row r="7434" spans="16:17" x14ac:dyDescent="0.25">
      <c r="P7434" s="220"/>
      <c r="Q7434" s="366"/>
    </row>
    <row r="7435" spans="16:17" x14ac:dyDescent="0.25">
      <c r="P7435" s="220"/>
      <c r="Q7435" s="366"/>
    </row>
    <row r="7436" spans="16:17" x14ac:dyDescent="0.25">
      <c r="P7436" s="220"/>
      <c r="Q7436" s="366"/>
    </row>
    <row r="7437" spans="16:17" x14ac:dyDescent="0.25">
      <c r="P7437" s="220"/>
      <c r="Q7437" s="366"/>
    </row>
    <row r="7438" spans="16:17" x14ac:dyDescent="0.25">
      <c r="P7438" s="220"/>
      <c r="Q7438" s="366"/>
    </row>
    <row r="7439" spans="16:17" x14ac:dyDescent="0.25">
      <c r="P7439" s="220"/>
      <c r="Q7439" s="366"/>
    </row>
    <row r="7440" spans="16:17" x14ac:dyDescent="0.25">
      <c r="P7440" s="220"/>
      <c r="Q7440" s="366"/>
    </row>
    <row r="7441" spans="16:17" x14ac:dyDescent="0.25">
      <c r="P7441" s="220"/>
      <c r="Q7441" s="366"/>
    </row>
    <row r="7442" spans="16:17" x14ac:dyDescent="0.25">
      <c r="P7442" s="220"/>
      <c r="Q7442" s="366"/>
    </row>
    <row r="7443" spans="16:17" x14ac:dyDescent="0.25">
      <c r="P7443" s="220"/>
      <c r="Q7443" s="366"/>
    </row>
    <row r="7444" spans="16:17" x14ac:dyDescent="0.25">
      <c r="P7444" s="220"/>
      <c r="Q7444" s="366"/>
    </row>
    <row r="7445" spans="16:17" x14ac:dyDescent="0.25">
      <c r="P7445" s="220"/>
      <c r="Q7445" s="366"/>
    </row>
    <row r="7446" spans="16:17" x14ac:dyDescent="0.25">
      <c r="P7446" s="220"/>
      <c r="Q7446" s="366"/>
    </row>
    <row r="7447" spans="16:17" x14ac:dyDescent="0.25">
      <c r="P7447" s="220"/>
      <c r="Q7447" s="366"/>
    </row>
    <row r="7448" spans="16:17" x14ac:dyDescent="0.25">
      <c r="P7448" s="220"/>
      <c r="Q7448" s="366"/>
    </row>
    <row r="7449" spans="16:17" x14ac:dyDescent="0.25">
      <c r="P7449" s="220"/>
      <c r="Q7449" s="366"/>
    </row>
    <row r="7450" spans="16:17" x14ac:dyDescent="0.25">
      <c r="P7450" s="220"/>
      <c r="Q7450" s="366"/>
    </row>
    <row r="7451" spans="16:17" x14ac:dyDescent="0.25">
      <c r="P7451" s="220"/>
      <c r="Q7451" s="366"/>
    </row>
    <row r="7452" spans="16:17" x14ac:dyDescent="0.25">
      <c r="P7452" s="220"/>
      <c r="Q7452" s="366"/>
    </row>
    <row r="7453" spans="16:17" x14ac:dyDescent="0.25">
      <c r="P7453" s="220"/>
      <c r="Q7453" s="366"/>
    </row>
    <row r="7454" spans="16:17" x14ac:dyDescent="0.25">
      <c r="P7454" s="220"/>
      <c r="Q7454" s="366"/>
    </row>
    <row r="7455" spans="16:17" x14ac:dyDescent="0.25">
      <c r="P7455" s="220"/>
      <c r="Q7455" s="366"/>
    </row>
    <row r="7456" spans="16:17" x14ac:dyDescent="0.25">
      <c r="P7456" s="220"/>
      <c r="Q7456" s="366"/>
    </row>
    <row r="7457" spans="16:17" x14ac:dyDescent="0.25">
      <c r="P7457" s="220"/>
      <c r="Q7457" s="366"/>
    </row>
    <row r="7458" spans="16:17" x14ac:dyDescent="0.25">
      <c r="P7458" s="220"/>
      <c r="Q7458" s="366"/>
    </row>
    <row r="7459" spans="16:17" x14ac:dyDescent="0.25">
      <c r="P7459" s="220"/>
      <c r="Q7459" s="366"/>
    </row>
    <row r="7460" spans="16:17" x14ac:dyDescent="0.25">
      <c r="P7460" s="220"/>
      <c r="Q7460" s="366"/>
    </row>
    <row r="7461" spans="16:17" x14ac:dyDescent="0.25">
      <c r="P7461" s="220"/>
      <c r="Q7461" s="366"/>
    </row>
    <row r="7462" spans="16:17" x14ac:dyDescent="0.25">
      <c r="P7462" s="220"/>
      <c r="Q7462" s="366"/>
    </row>
    <row r="7463" spans="16:17" x14ac:dyDescent="0.25">
      <c r="P7463" s="220"/>
      <c r="Q7463" s="366"/>
    </row>
    <row r="7464" spans="16:17" x14ac:dyDescent="0.25">
      <c r="P7464" s="220"/>
      <c r="Q7464" s="366"/>
    </row>
    <row r="7465" spans="16:17" x14ac:dyDescent="0.25">
      <c r="P7465" s="220"/>
      <c r="Q7465" s="366"/>
    </row>
    <row r="7466" spans="16:17" x14ac:dyDescent="0.25">
      <c r="P7466" s="220"/>
      <c r="Q7466" s="366"/>
    </row>
    <row r="7467" spans="16:17" x14ac:dyDescent="0.25">
      <c r="P7467" s="220"/>
      <c r="Q7467" s="366"/>
    </row>
    <row r="7468" spans="16:17" x14ac:dyDescent="0.25">
      <c r="P7468" s="220"/>
      <c r="Q7468" s="366"/>
    </row>
    <row r="7469" spans="16:17" x14ac:dyDescent="0.25">
      <c r="P7469" s="220"/>
      <c r="Q7469" s="366"/>
    </row>
    <row r="7470" spans="16:17" x14ac:dyDescent="0.25">
      <c r="P7470" s="220"/>
      <c r="Q7470" s="366"/>
    </row>
    <row r="7471" spans="16:17" x14ac:dyDescent="0.25">
      <c r="P7471" s="220"/>
      <c r="Q7471" s="366"/>
    </row>
    <row r="7472" spans="16:17" x14ac:dyDescent="0.25">
      <c r="P7472" s="220"/>
      <c r="Q7472" s="366"/>
    </row>
    <row r="7473" spans="16:17" x14ac:dyDescent="0.25">
      <c r="P7473" s="220"/>
      <c r="Q7473" s="366"/>
    </row>
    <row r="7474" spans="16:17" x14ac:dyDescent="0.25">
      <c r="P7474" s="220"/>
      <c r="Q7474" s="366"/>
    </row>
    <row r="7475" spans="16:17" x14ac:dyDescent="0.25">
      <c r="P7475" s="220"/>
      <c r="Q7475" s="366"/>
    </row>
    <row r="7476" spans="16:17" x14ac:dyDescent="0.25">
      <c r="P7476" s="220"/>
      <c r="Q7476" s="366"/>
    </row>
    <row r="7477" spans="16:17" x14ac:dyDescent="0.25">
      <c r="P7477" s="220"/>
      <c r="Q7477" s="366"/>
    </row>
    <row r="7478" spans="16:17" x14ac:dyDescent="0.25">
      <c r="P7478" s="220"/>
      <c r="Q7478" s="366"/>
    </row>
    <row r="7479" spans="16:17" x14ac:dyDescent="0.25">
      <c r="P7479" s="220"/>
      <c r="Q7479" s="366"/>
    </row>
    <row r="7480" spans="16:17" x14ac:dyDescent="0.25">
      <c r="P7480" s="220"/>
      <c r="Q7480" s="366"/>
    </row>
    <row r="7481" spans="16:17" x14ac:dyDescent="0.25">
      <c r="P7481" s="220"/>
      <c r="Q7481" s="366"/>
    </row>
    <row r="7482" spans="16:17" x14ac:dyDescent="0.25">
      <c r="P7482" s="220"/>
      <c r="Q7482" s="366"/>
    </row>
    <row r="7483" spans="16:17" x14ac:dyDescent="0.25">
      <c r="P7483" s="220"/>
      <c r="Q7483" s="366"/>
    </row>
    <row r="7484" spans="16:17" x14ac:dyDescent="0.25">
      <c r="P7484" s="220"/>
      <c r="Q7484" s="366"/>
    </row>
    <row r="7485" spans="16:17" x14ac:dyDescent="0.25">
      <c r="P7485" s="220"/>
      <c r="Q7485" s="366"/>
    </row>
    <row r="7486" spans="16:17" x14ac:dyDescent="0.25">
      <c r="P7486" s="220"/>
      <c r="Q7486" s="366"/>
    </row>
    <row r="7487" spans="16:17" x14ac:dyDescent="0.25">
      <c r="P7487" s="220"/>
      <c r="Q7487" s="366"/>
    </row>
    <row r="7488" spans="16:17" x14ac:dyDescent="0.25">
      <c r="P7488" s="220"/>
      <c r="Q7488" s="366"/>
    </row>
    <row r="7489" spans="16:17" x14ac:dyDescent="0.25">
      <c r="P7489" s="220"/>
      <c r="Q7489" s="366"/>
    </row>
    <row r="7490" spans="16:17" x14ac:dyDescent="0.25">
      <c r="P7490" s="220"/>
      <c r="Q7490" s="366"/>
    </row>
    <row r="7491" spans="16:17" x14ac:dyDescent="0.25">
      <c r="P7491" s="220"/>
      <c r="Q7491" s="366"/>
    </row>
    <row r="7492" spans="16:17" x14ac:dyDescent="0.25">
      <c r="P7492" s="220"/>
      <c r="Q7492" s="366"/>
    </row>
    <row r="7493" spans="16:17" x14ac:dyDescent="0.25">
      <c r="P7493" s="220"/>
      <c r="Q7493" s="366"/>
    </row>
    <row r="7494" spans="16:17" x14ac:dyDescent="0.25">
      <c r="P7494" s="220"/>
      <c r="Q7494" s="366"/>
    </row>
    <row r="7495" spans="16:17" x14ac:dyDescent="0.25">
      <c r="P7495" s="220"/>
      <c r="Q7495" s="366"/>
    </row>
    <row r="7496" spans="16:17" x14ac:dyDescent="0.25">
      <c r="P7496" s="220"/>
      <c r="Q7496" s="366"/>
    </row>
    <row r="7497" spans="16:17" x14ac:dyDescent="0.25">
      <c r="P7497" s="220"/>
      <c r="Q7497" s="366"/>
    </row>
    <row r="7498" spans="16:17" x14ac:dyDescent="0.25">
      <c r="P7498" s="220"/>
      <c r="Q7498" s="366"/>
    </row>
    <row r="7499" spans="16:17" x14ac:dyDescent="0.25">
      <c r="P7499" s="220"/>
      <c r="Q7499" s="366"/>
    </row>
    <row r="7500" spans="16:17" x14ac:dyDescent="0.25">
      <c r="P7500" s="220"/>
      <c r="Q7500" s="366"/>
    </row>
    <row r="7501" spans="16:17" x14ac:dyDescent="0.25">
      <c r="P7501" s="220"/>
      <c r="Q7501" s="366"/>
    </row>
    <row r="7502" spans="16:17" x14ac:dyDescent="0.25">
      <c r="P7502" s="220"/>
      <c r="Q7502" s="366"/>
    </row>
    <row r="7503" spans="16:17" x14ac:dyDescent="0.25">
      <c r="P7503" s="220"/>
      <c r="Q7503" s="366"/>
    </row>
    <row r="7504" spans="16:17" x14ac:dyDescent="0.25">
      <c r="P7504" s="220"/>
      <c r="Q7504" s="366"/>
    </row>
    <row r="7505" spans="16:17" x14ac:dyDescent="0.25">
      <c r="P7505" s="220"/>
      <c r="Q7505" s="366"/>
    </row>
    <row r="7506" spans="16:17" x14ac:dyDescent="0.25">
      <c r="P7506" s="220"/>
      <c r="Q7506" s="366"/>
    </row>
    <row r="7507" spans="16:17" x14ac:dyDescent="0.25">
      <c r="P7507" s="220"/>
      <c r="Q7507" s="366"/>
    </row>
    <row r="7508" spans="16:17" x14ac:dyDescent="0.25">
      <c r="P7508" s="220"/>
      <c r="Q7508" s="366"/>
    </row>
    <row r="7509" spans="16:17" x14ac:dyDescent="0.25">
      <c r="P7509" s="220"/>
      <c r="Q7509" s="366"/>
    </row>
    <row r="7510" spans="16:17" x14ac:dyDescent="0.25">
      <c r="P7510" s="220"/>
      <c r="Q7510" s="366"/>
    </row>
    <row r="7511" spans="16:17" x14ac:dyDescent="0.25">
      <c r="P7511" s="220"/>
      <c r="Q7511" s="366"/>
    </row>
    <row r="7512" spans="16:17" x14ac:dyDescent="0.25">
      <c r="P7512" s="220"/>
      <c r="Q7512" s="366"/>
    </row>
    <row r="7513" spans="16:17" x14ac:dyDescent="0.25">
      <c r="P7513" s="220"/>
      <c r="Q7513" s="366"/>
    </row>
    <row r="7514" spans="16:17" x14ac:dyDescent="0.25">
      <c r="P7514" s="220"/>
      <c r="Q7514" s="366"/>
    </row>
    <row r="7515" spans="16:17" x14ac:dyDescent="0.25">
      <c r="P7515" s="220"/>
      <c r="Q7515" s="366"/>
    </row>
    <row r="7516" spans="16:17" x14ac:dyDescent="0.25">
      <c r="P7516" s="220"/>
      <c r="Q7516" s="366"/>
    </row>
    <row r="7517" spans="16:17" x14ac:dyDescent="0.25">
      <c r="P7517" s="220"/>
      <c r="Q7517" s="366"/>
    </row>
    <row r="7518" spans="16:17" x14ac:dyDescent="0.25">
      <c r="P7518" s="220"/>
      <c r="Q7518" s="366"/>
    </row>
    <row r="7519" spans="16:17" x14ac:dyDescent="0.25">
      <c r="P7519" s="220"/>
      <c r="Q7519" s="366"/>
    </row>
    <row r="7520" spans="16:17" x14ac:dyDescent="0.25">
      <c r="P7520" s="220"/>
      <c r="Q7520" s="366"/>
    </row>
    <row r="7521" spans="16:17" x14ac:dyDescent="0.25">
      <c r="P7521" s="220"/>
      <c r="Q7521" s="366"/>
    </row>
    <row r="7522" spans="16:17" x14ac:dyDescent="0.25">
      <c r="P7522" s="220"/>
      <c r="Q7522" s="366"/>
    </row>
    <row r="7523" spans="16:17" x14ac:dyDescent="0.25">
      <c r="P7523" s="220"/>
      <c r="Q7523" s="366"/>
    </row>
    <row r="7524" spans="16:17" x14ac:dyDescent="0.25">
      <c r="P7524" s="220"/>
      <c r="Q7524" s="366"/>
    </row>
    <row r="7525" spans="16:17" x14ac:dyDescent="0.25">
      <c r="P7525" s="220"/>
      <c r="Q7525" s="366"/>
    </row>
    <row r="7526" spans="16:17" x14ac:dyDescent="0.25">
      <c r="P7526" s="220"/>
      <c r="Q7526" s="366"/>
    </row>
    <row r="7527" spans="16:17" x14ac:dyDescent="0.25">
      <c r="P7527" s="220"/>
      <c r="Q7527" s="366"/>
    </row>
    <row r="7528" spans="16:17" x14ac:dyDescent="0.25">
      <c r="P7528" s="220"/>
      <c r="Q7528" s="366"/>
    </row>
    <row r="7529" spans="16:17" x14ac:dyDescent="0.25">
      <c r="P7529" s="220"/>
      <c r="Q7529" s="366"/>
    </row>
    <row r="7530" spans="16:17" x14ac:dyDescent="0.25">
      <c r="P7530" s="220"/>
      <c r="Q7530" s="366"/>
    </row>
    <row r="7531" spans="16:17" x14ac:dyDescent="0.25">
      <c r="P7531" s="220"/>
      <c r="Q7531" s="366"/>
    </row>
    <row r="7532" spans="16:17" x14ac:dyDescent="0.25">
      <c r="P7532" s="220"/>
      <c r="Q7532" s="366"/>
    </row>
    <row r="7533" spans="16:17" x14ac:dyDescent="0.25">
      <c r="P7533" s="220"/>
      <c r="Q7533" s="366"/>
    </row>
    <row r="7534" spans="16:17" x14ac:dyDescent="0.25">
      <c r="P7534" s="220"/>
      <c r="Q7534" s="366"/>
    </row>
    <row r="7535" spans="16:17" x14ac:dyDescent="0.25">
      <c r="P7535" s="220"/>
      <c r="Q7535" s="366"/>
    </row>
    <row r="7536" spans="16:17" x14ac:dyDescent="0.25">
      <c r="P7536" s="220"/>
      <c r="Q7536" s="366"/>
    </row>
    <row r="7537" spans="16:17" x14ac:dyDescent="0.25">
      <c r="P7537" s="220"/>
      <c r="Q7537" s="366"/>
    </row>
    <row r="7538" spans="16:17" x14ac:dyDescent="0.25">
      <c r="P7538" s="220"/>
      <c r="Q7538" s="366"/>
    </row>
    <row r="7539" spans="16:17" x14ac:dyDescent="0.25">
      <c r="P7539" s="220"/>
      <c r="Q7539" s="366"/>
    </row>
    <row r="7540" spans="16:17" x14ac:dyDescent="0.25">
      <c r="P7540" s="220"/>
      <c r="Q7540" s="366"/>
    </row>
    <row r="7541" spans="16:17" x14ac:dyDescent="0.25">
      <c r="P7541" s="220"/>
      <c r="Q7541" s="366"/>
    </row>
    <row r="7542" spans="16:17" x14ac:dyDescent="0.25">
      <c r="P7542" s="220"/>
      <c r="Q7542" s="366"/>
    </row>
    <row r="7543" spans="16:17" x14ac:dyDescent="0.25">
      <c r="P7543" s="220"/>
      <c r="Q7543" s="366"/>
    </row>
    <row r="7544" spans="16:17" x14ac:dyDescent="0.25">
      <c r="P7544" s="220"/>
      <c r="Q7544" s="366"/>
    </row>
    <row r="7545" spans="16:17" x14ac:dyDescent="0.25">
      <c r="P7545" s="220"/>
      <c r="Q7545" s="366"/>
    </row>
    <row r="7546" spans="16:17" x14ac:dyDescent="0.25">
      <c r="P7546" s="220"/>
      <c r="Q7546" s="366"/>
    </row>
    <row r="7547" spans="16:17" x14ac:dyDescent="0.25">
      <c r="P7547" s="220"/>
      <c r="Q7547" s="366"/>
    </row>
    <row r="7548" spans="16:17" x14ac:dyDescent="0.25">
      <c r="P7548" s="220"/>
      <c r="Q7548" s="366"/>
    </row>
    <row r="7549" spans="16:17" x14ac:dyDescent="0.25">
      <c r="P7549" s="220"/>
      <c r="Q7549" s="366"/>
    </row>
    <row r="7550" spans="16:17" x14ac:dyDescent="0.25">
      <c r="P7550" s="220"/>
      <c r="Q7550" s="366"/>
    </row>
    <row r="7551" spans="16:17" x14ac:dyDescent="0.25">
      <c r="P7551" s="220"/>
      <c r="Q7551" s="366"/>
    </row>
    <row r="7552" spans="16:17" x14ac:dyDescent="0.25">
      <c r="P7552" s="220"/>
      <c r="Q7552" s="366"/>
    </row>
    <row r="7553" spans="16:17" x14ac:dyDescent="0.25">
      <c r="P7553" s="220"/>
      <c r="Q7553" s="366"/>
    </row>
    <row r="7554" spans="16:17" x14ac:dyDescent="0.25">
      <c r="P7554" s="220"/>
      <c r="Q7554" s="366"/>
    </row>
    <row r="7555" spans="16:17" x14ac:dyDescent="0.25">
      <c r="P7555" s="220"/>
      <c r="Q7555" s="366"/>
    </row>
    <row r="7556" spans="16:17" x14ac:dyDescent="0.25">
      <c r="P7556" s="220"/>
      <c r="Q7556" s="366"/>
    </row>
    <row r="7557" spans="16:17" x14ac:dyDescent="0.25">
      <c r="P7557" s="220"/>
      <c r="Q7557" s="366"/>
    </row>
    <row r="7558" spans="16:17" x14ac:dyDescent="0.25">
      <c r="P7558" s="220"/>
      <c r="Q7558" s="366"/>
    </row>
  </sheetData>
  <sheetProtection password="CC7C" sheet="1" objects="1" scenarios="1"/>
  <phoneticPr fontId="2" type="noConversion"/>
  <pageMargins left="0.74803149606299213" right="0.74803149606299213" top="0.98425196850393704" bottom="0.98425196850393704"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1:E17"/>
  <sheetViews>
    <sheetView workbookViewId="0">
      <selection activeCell="A7" sqref="A7"/>
    </sheetView>
  </sheetViews>
  <sheetFormatPr defaultRowHeight="13.2" x14ac:dyDescent="0.25"/>
  <cols>
    <col min="1" max="1" width="47.77734375" customWidth="1"/>
    <col min="2" max="2" width="10" style="1" customWidth="1"/>
    <col min="3" max="5" width="10.88671875" style="1" customWidth="1"/>
  </cols>
  <sheetData>
    <row r="1" spans="1:5" ht="21" x14ac:dyDescent="0.4">
      <c r="A1" s="137" t="s">
        <v>413</v>
      </c>
      <c r="C1" s="279"/>
      <c r="D1" s="279"/>
    </row>
    <row r="2" spans="1:5" ht="31.5" customHeight="1" x14ac:dyDescent="0.25"/>
    <row r="3" spans="1:5" ht="24.75" customHeight="1" thickBot="1" x14ac:dyDescent="0.3">
      <c r="A3" s="138" t="s">
        <v>169</v>
      </c>
      <c r="B3" s="139"/>
      <c r="C3" s="139" t="s">
        <v>377</v>
      </c>
      <c r="D3" s="355" t="s">
        <v>373</v>
      </c>
      <c r="E3" s="355" t="s">
        <v>374</v>
      </c>
    </row>
    <row r="4" spans="1:5" ht="18" customHeight="1" x14ac:dyDescent="0.25">
      <c r="A4" s="391" t="s">
        <v>384</v>
      </c>
      <c r="B4" s="141" t="s">
        <v>2</v>
      </c>
      <c r="C4" s="388">
        <f>'Ship data'!C3</f>
        <v>2000</v>
      </c>
      <c r="D4" s="388">
        <f>'Ship data'!D3</f>
        <v>2000</v>
      </c>
      <c r="E4" s="389">
        <f>'Ship data'!E3</f>
        <v>2000</v>
      </c>
    </row>
    <row r="5" spans="1:5" ht="18" customHeight="1" x14ac:dyDescent="0.25">
      <c r="A5" s="386" t="s">
        <v>318</v>
      </c>
      <c r="B5" s="387" t="s">
        <v>7</v>
      </c>
      <c r="C5" s="152">
        <f>'Ship data'!C92</f>
        <v>77.5</v>
      </c>
      <c r="D5" s="152">
        <f>'Ship data'!D92</f>
        <v>77.5</v>
      </c>
      <c r="E5" s="380">
        <f>'Ship data'!E92</f>
        <v>77.5</v>
      </c>
    </row>
    <row r="6" spans="1:5" ht="18" customHeight="1" x14ac:dyDescent="0.25">
      <c r="A6" s="143" t="s">
        <v>433</v>
      </c>
      <c r="B6" s="144" t="s">
        <v>2</v>
      </c>
      <c r="C6" s="152">
        <f>'Ship data'!C93</f>
        <v>1435.5</v>
      </c>
      <c r="D6" s="152">
        <f>'Ship data'!D93</f>
        <v>1435.5</v>
      </c>
      <c r="E6" s="380">
        <f>'Ship data'!E93</f>
        <v>1435.5</v>
      </c>
    </row>
    <row r="7" spans="1:5" ht="18" customHeight="1" x14ac:dyDescent="0.25">
      <c r="A7" s="413" t="s">
        <v>315</v>
      </c>
      <c r="B7" s="414" t="s">
        <v>2</v>
      </c>
      <c r="C7" s="415">
        <f>IF('Ship data'!C15&lt;10000,0.9,0.95)*'Ship data'!C15*'Ship data'!C92/100</f>
        <v>1255.5</v>
      </c>
      <c r="D7" s="415">
        <f>IF('Ship data'!D15&lt;10000,0.9,0.95)*'Ship data'!D15*'Ship data'!D92/100</f>
        <v>1255.5</v>
      </c>
      <c r="E7" s="416">
        <f>IF('Ship data'!E15&lt;10000,0.9,0.95)*'Ship data'!E15*'Ship data'!E92/100</f>
        <v>1255.5</v>
      </c>
    </row>
    <row r="8" spans="1:5" ht="18" customHeight="1" thickBot="1" x14ac:dyDescent="0.3">
      <c r="A8" s="146" t="s">
        <v>171</v>
      </c>
      <c r="B8" s="147" t="s">
        <v>1</v>
      </c>
      <c r="C8" s="153">
        <f>'Ship data'!C95</f>
        <v>3.7282593146415111</v>
      </c>
      <c r="D8" s="153">
        <f>'Ship data'!D95</f>
        <v>3.7282593146415111</v>
      </c>
      <c r="E8" s="383">
        <f>'Ship data'!E95</f>
        <v>3.7282593146415111</v>
      </c>
    </row>
    <row r="9" spans="1:5" ht="18" customHeight="1" thickBot="1" x14ac:dyDescent="0.3">
      <c r="A9" s="148"/>
      <c r="B9" s="139"/>
      <c r="C9" s="139"/>
      <c r="D9" s="139"/>
      <c r="E9" s="139"/>
    </row>
    <row r="10" spans="1:5" ht="18" customHeight="1" x14ac:dyDescent="0.25">
      <c r="A10" s="411" t="s">
        <v>412</v>
      </c>
      <c r="B10" s="141" t="s">
        <v>156</v>
      </c>
      <c r="C10" s="142">
        <f>'Ship data'!C67</f>
        <v>322.18235364883867</v>
      </c>
      <c r="D10" s="142">
        <f>'Ship data'!D67</f>
        <v>322.18235364883867</v>
      </c>
      <c r="E10" s="412">
        <f>'Ship data'!E67</f>
        <v>322.18235364883867</v>
      </c>
    </row>
    <row r="11" spans="1:5" ht="18" customHeight="1" x14ac:dyDescent="0.25">
      <c r="A11" s="143" t="s">
        <v>174</v>
      </c>
      <c r="B11" s="144" t="s">
        <v>175</v>
      </c>
      <c r="C11" s="145">
        <f>'Ship data'!C112*'Emission factors'!C31</f>
        <v>2.6138654351530288</v>
      </c>
      <c r="D11" s="145">
        <f>'Ship data'!D112*'Emission factors'!E31</f>
        <v>2.6138654351530288</v>
      </c>
      <c r="E11" s="393">
        <f>'Ship data'!E112*'Emission factors'!G31</f>
        <v>2.6138654351530288</v>
      </c>
    </row>
    <row r="12" spans="1:5" ht="18" customHeight="1" x14ac:dyDescent="0.25">
      <c r="A12" s="143" t="s">
        <v>343</v>
      </c>
      <c r="B12" s="144" t="s">
        <v>161</v>
      </c>
      <c r="C12" s="275">
        <f>'Ship data'!C112</f>
        <v>6.1214647193279355E-2</v>
      </c>
      <c r="D12" s="275">
        <f>'Ship data'!D112</f>
        <v>6.1214647193279355E-2</v>
      </c>
      <c r="E12" s="384">
        <f>'Ship data'!E112</f>
        <v>6.1214647193279355E-2</v>
      </c>
    </row>
    <row r="13" spans="1:5" ht="18" customHeight="1" x14ac:dyDescent="0.25">
      <c r="A13" s="143" t="s">
        <v>196</v>
      </c>
      <c r="B13" s="144" t="s">
        <v>161</v>
      </c>
      <c r="C13" s="275">
        <f>'Ship data'!C112*'Emission factors'!C23/1000</f>
        <v>0.19288735330602325</v>
      </c>
      <c r="D13" s="275">
        <f>'Ship data'!D112*'Emission factors'!E23/1000</f>
        <v>0.19288735330602325</v>
      </c>
      <c r="E13" s="384">
        <f>'Ship data'!E112*'Emission factors'!G23/1000</f>
        <v>0.19288735330602325</v>
      </c>
    </row>
    <row r="14" spans="1:5" ht="18" customHeight="1" x14ac:dyDescent="0.25">
      <c r="A14" s="143" t="s">
        <v>179</v>
      </c>
      <c r="B14" s="144" t="s">
        <v>180</v>
      </c>
      <c r="C14" s="145">
        <f>'Ship data'!C112*'Emission factors'!C24</f>
        <v>0.77323764875721257</v>
      </c>
      <c r="D14" s="145">
        <f>'Ship data'!D112*'Emission factors'!E24</f>
        <v>0.77323764875721257</v>
      </c>
      <c r="E14" s="393">
        <f>'Ship data'!E112*'Emission factors'!G24</f>
        <v>0.77323764875721257</v>
      </c>
    </row>
    <row r="15" spans="1:5" ht="18" customHeight="1" x14ac:dyDescent="0.25">
      <c r="A15" s="143" t="s">
        <v>184</v>
      </c>
      <c r="B15" s="144" t="s">
        <v>180</v>
      </c>
      <c r="C15" s="145">
        <f>'Ship data'!C112*'Emission factors'!C30</f>
        <v>0.12855075910588665</v>
      </c>
      <c r="D15" s="145">
        <f>'Ship data'!D112*'Emission factors'!E30</f>
        <v>0.12855075910588665</v>
      </c>
      <c r="E15" s="393">
        <f>'Ship data'!E112*'Emission factors'!G30</f>
        <v>0.12855075910588665</v>
      </c>
    </row>
    <row r="16" spans="1:5" ht="18" customHeight="1" x14ac:dyDescent="0.25">
      <c r="A16" s="143" t="s">
        <v>188</v>
      </c>
      <c r="B16" s="144" t="s">
        <v>180</v>
      </c>
      <c r="C16" s="275">
        <f>'Ship data'!C112*'Emission factors'!C27</f>
        <v>0.16109117682441934</v>
      </c>
      <c r="D16" s="275">
        <f>'Ship data'!D112*'Emission factors'!E27</f>
        <v>0.16109117682441934</v>
      </c>
      <c r="E16" s="384">
        <f>'Ship data'!E112*'Emission factors'!G27</f>
        <v>0.16109117682441934</v>
      </c>
    </row>
    <row r="17" spans="1:5" ht="18" customHeight="1" thickBot="1" x14ac:dyDescent="0.3">
      <c r="A17" s="146" t="s">
        <v>192</v>
      </c>
      <c r="B17" s="147" t="s">
        <v>180</v>
      </c>
      <c r="C17" s="150">
        <f>'Ship data'!C112*'Emission factors'!C29</f>
        <v>8.6708936837511935E-2</v>
      </c>
      <c r="D17" s="150">
        <f>'Ship data'!D112*'Emission factors'!E29</f>
        <v>8.6708936837511935E-2</v>
      </c>
      <c r="E17" s="150">
        <f>'Ship data'!E112*'Emission factors'!G29</f>
        <v>8.6708936837511935E-2</v>
      </c>
    </row>
  </sheetData>
  <sheetProtection password="CC7C" sheet="1"/>
  <phoneticPr fontId="2" type="noConversion"/>
  <pageMargins left="0.75" right="0.75" top="1" bottom="1"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tabColor indexed="40"/>
  </sheetPr>
  <dimension ref="A1:F58"/>
  <sheetViews>
    <sheetView topLeftCell="A31" workbookViewId="0">
      <selection activeCell="G7" sqref="G7"/>
    </sheetView>
  </sheetViews>
  <sheetFormatPr defaultRowHeight="13.2" x14ac:dyDescent="0.25"/>
  <cols>
    <col min="1" max="1" width="44.44140625" customWidth="1"/>
    <col min="2" max="2" width="10" style="1" customWidth="1"/>
    <col min="3" max="5" width="10.88671875" style="1" customWidth="1"/>
  </cols>
  <sheetData>
    <row r="1" spans="1:6" ht="21" x14ac:dyDescent="0.4">
      <c r="A1" s="137" t="s">
        <v>168</v>
      </c>
      <c r="C1" s="279"/>
      <c r="D1" s="279"/>
    </row>
    <row r="2" spans="1:6" ht="31.5" customHeight="1" x14ac:dyDescent="0.25"/>
    <row r="3" spans="1:6" ht="24.75" customHeight="1" thickBot="1" x14ac:dyDescent="0.3">
      <c r="A3" s="138" t="s">
        <v>169</v>
      </c>
      <c r="B3" s="139"/>
      <c r="C3" s="139" t="s">
        <v>377</v>
      </c>
      <c r="D3" s="355" t="s">
        <v>373</v>
      </c>
      <c r="E3" s="355" t="s">
        <v>374</v>
      </c>
    </row>
    <row r="4" spans="1:6" ht="18" customHeight="1" x14ac:dyDescent="0.25">
      <c r="A4" s="391" t="s">
        <v>384</v>
      </c>
      <c r="B4" s="141" t="s">
        <v>2</v>
      </c>
      <c r="C4" s="388">
        <f>'Ship data'!C3</f>
        <v>2000</v>
      </c>
      <c r="D4" s="388">
        <f>'Ship data'!D3</f>
        <v>2000</v>
      </c>
      <c r="E4" s="389">
        <f>'Ship data'!E3</f>
        <v>2000</v>
      </c>
    </row>
    <row r="5" spans="1:6" ht="18" customHeight="1" x14ac:dyDescent="0.25">
      <c r="A5" s="386" t="s">
        <v>318</v>
      </c>
      <c r="B5" s="387" t="s">
        <v>7</v>
      </c>
      <c r="C5" s="152">
        <f>'Ship data'!C92</f>
        <v>77.5</v>
      </c>
      <c r="D5" s="152">
        <f>'Ship data'!D92</f>
        <v>77.5</v>
      </c>
      <c r="E5" s="380">
        <f>'Ship data'!E92</f>
        <v>77.5</v>
      </c>
    </row>
    <row r="6" spans="1:6" ht="31.5" customHeight="1" x14ac:dyDescent="0.25">
      <c r="A6" s="143" t="s">
        <v>170</v>
      </c>
      <c r="B6" s="144" t="s">
        <v>2</v>
      </c>
      <c r="C6" s="152">
        <f>'Ship data'!C93</f>
        <v>1435.5</v>
      </c>
      <c r="D6" s="152">
        <f>'Ship data'!D93</f>
        <v>1435.5</v>
      </c>
      <c r="E6" s="380">
        <f>'Ship data'!E93</f>
        <v>1435.5</v>
      </c>
    </row>
    <row r="7" spans="1:6" ht="18" customHeight="1" x14ac:dyDescent="0.25">
      <c r="A7" s="281" t="s">
        <v>315</v>
      </c>
      <c r="B7" s="282" t="s">
        <v>2</v>
      </c>
      <c r="C7" s="283">
        <f>IF('Ship data'!C15&lt;10000,0.9,0.95)*'Ship data'!C15*'Ship data'!C92/100</f>
        <v>1255.5</v>
      </c>
      <c r="D7" s="283">
        <f>IF('Ship data'!D15&lt;10000,0.9,0.95)*'Ship data'!D15*'Ship data'!D92/100</f>
        <v>1255.5</v>
      </c>
      <c r="E7" s="392">
        <f>IF('Ship data'!E15&lt;10000,0.9,0.95)*'Ship data'!E15*'Ship data'!E92/100</f>
        <v>1255.5</v>
      </c>
    </row>
    <row r="8" spans="1:6" ht="18" customHeight="1" x14ac:dyDescent="0.25">
      <c r="A8" s="143" t="s">
        <v>171</v>
      </c>
      <c r="B8" s="144" t="s">
        <v>1</v>
      </c>
      <c r="C8" s="145">
        <f>'Ship data'!C95</f>
        <v>3.7282593146415111</v>
      </c>
      <c r="D8" s="145">
        <f>'Ship data'!D95</f>
        <v>3.7282593146415111</v>
      </c>
      <c r="E8" s="393">
        <f>'Ship data'!E95</f>
        <v>3.7282593146415111</v>
      </c>
    </row>
    <row r="9" spans="1:6" ht="18" customHeight="1" thickBot="1" x14ac:dyDescent="0.3">
      <c r="A9" s="146" t="s">
        <v>172</v>
      </c>
      <c r="B9" s="147" t="s">
        <v>6</v>
      </c>
      <c r="C9" s="154">
        <f>'Ship data'!C99</f>
        <v>8.6999999999999993</v>
      </c>
      <c r="D9" s="154">
        <f>'Ship data'!D99</f>
        <v>8.6999999999999993</v>
      </c>
      <c r="E9" s="376">
        <f>'Ship data'!E99</f>
        <v>8.6999999999999993</v>
      </c>
    </row>
    <row r="10" spans="1:6" ht="18" customHeight="1" x14ac:dyDescent="0.25">
      <c r="A10" s="148"/>
      <c r="B10" s="139"/>
      <c r="C10" s="139"/>
      <c r="D10" s="139"/>
      <c r="E10" s="139"/>
    </row>
    <row r="11" spans="1:6" ht="18" customHeight="1" thickBot="1" x14ac:dyDescent="0.3">
      <c r="A11" s="138" t="s">
        <v>173</v>
      </c>
      <c r="B11" s="139"/>
      <c r="C11" s="139"/>
      <c r="D11" s="139"/>
      <c r="E11" s="139"/>
    </row>
    <row r="12" spans="1:6" ht="18" customHeight="1" x14ac:dyDescent="0.25">
      <c r="A12" s="140" t="s">
        <v>174</v>
      </c>
      <c r="B12" s="141" t="s">
        <v>175</v>
      </c>
      <c r="C12" s="151">
        <f>'Ship data'!C111*'Emission factors'!C31+'Ship data'!C113*'Emission factors'!B31</f>
        <v>3.727331464557802</v>
      </c>
      <c r="D12" s="151">
        <f>'Ship data'!D111*'Emission factors'!E31+'Ship data'!D113*'Emission factors'!D31</f>
        <v>4.694530382803479</v>
      </c>
      <c r="E12" s="379">
        <f>'Ship data'!E111*'Emission factors'!G31+'Ship data'!E113*'Emission factors'!F31</f>
        <v>3.6029784742466044</v>
      </c>
    </row>
    <row r="13" spans="1:6" ht="18" customHeight="1" x14ac:dyDescent="0.25">
      <c r="A13" s="143" t="s">
        <v>379</v>
      </c>
      <c r="B13" s="144" t="s">
        <v>176</v>
      </c>
      <c r="C13" s="149">
        <f>C12/C9</f>
        <v>0.42842890397216116</v>
      </c>
      <c r="D13" s="149">
        <f>D12/D9</f>
        <v>0.53960119342568724</v>
      </c>
      <c r="E13" s="381">
        <f>E12/E9</f>
        <v>0.41413545680995456</v>
      </c>
    </row>
    <row r="14" spans="1:6" ht="18" customHeight="1" x14ac:dyDescent="0.25">
      <c r="A14" s="143" t="s">
        <v>378</v>
      </c>
      <c r="B14" s="144" t="s">
        <v>177</v>
      </c>
      <c r="C14" s="275">
        <f>C13*1000/C6</f>
        <v>0.29845273700603353</v>
      </c>
      <c r="D14" s="275">
        <f>D13*1000/D6</f>
        <v>0.37589773140068772</v>
      </c>
      <c r="E14" s="384">
        <f>E13*1000/E6</f>
        <v>0.28849561602922646</v>
      </c>
    </row>
    <row r="15" spans="1:6" ht="18" customHeight="1" thickBot="1" x14ac:dyDescent="0.3">
      <c r="A15" s="276" t="s">
        <v>316</v>
      </c>
      <c r="B15" s="277" t="s">
        <v>317</v>
      </c>
      <c r="C15" s="278">
        <f>C13*1000/C7/1.852</f>
        <v>0.18425575587164258</v>
      </c>
      <c r="D15" s="278">
        <f>D13*1000/D7/1.852</f>
        <v>0.23206796936919766</v>
      </c>
      <c r="E15" s="385">
        <f>E13*1000/E7/1.852</f>
        <v>0.17810852844028588</v>
      </c>
      <c r="F15" s="365" t="s">
        <v>382</v>
      </c>
    </row>
    <row r="16" spans="1:6" ht="18" customHeight="1" x14ac:dyDescent="0.25">
      <c r="A16" s="148"/>
      <c r="B16" s="139"/>
      <c r="C16" s="139"/>
      <c r="D16" s="139"/>
      <c r="E16" s="139"/>
    </row>
    <row r="17" spans="1:6" ht="18" customHeight="1" thickBot="1" x14ac:dyDescent="0.3">
      <c r="A17" s="138" t="s">
        <v>342</v>
      </c>
      <c r="B17" s="139"/>
      <c r="C17" s="139"/>
      <c r="D17" s="139"/>
      <c r="E17" s="139"/>
    </row>
    <row r="18" spans="1:6" ht="18" customHeight="1" x14ac:dyDescent="0.25">
      <c r="A18" s="140" t="s">
        <v>343</v>
      </c>
      <c r="B18" s="141" t="s">
        <v>161</v>
      </c>
      <c r="C18" s="158">
        <f>'Ship data'!C114</f>
        <v>8.7291135001353673E-2</v>
      </c>
      <c r="D18" s="158">
        <f>'Ship data'!D114</f>
        <v>0.10994216353169739</v>
      </c>
      <c r="E18" s="382">
        <f>'Ship data'!E114</f>
        <v>8.437888698469799E-2</v>
      </c>
    </row>
    <row r="19" spans="1:6" ht="18" customHeight="1" x14ac:dyDescent="0.25">
      <c r="A19" s="143" t="s">
        <v>381</v>
      </c>
      <c r="B19" s="144" t="s">
        <v>178</v>
      </c>
      <c r="C19" s="152">
        <f>C18*1000/C9</f>
        <v>10.033463793259044</v>
      </c>
      <c r="D19" s="152">
        <f>D18*1000/D9</f>
        <v>12.6370302909997</v>
      </c>
      <c r="E19" s="380">
        <f>E18*1000/E9</f>
        <v>9.6987226419193089</v>
      </c>
    </row>
    <row r="20" spans="1:6" ht="18" customHeight="1" thickBot="1" x14ac:dyDescent="0.3">
      <c r="A20" s="146" t="s">
        <v>380</v>
      </c>
      <c r="B20" s="147" t="s">
        <v>159</v>
      </c>
      <c r="C20" s="153">
        <f>C19*1000/C6</f>
        <v>6.9895254568157741</v>
      </c>
      <c r="D20" s="153">
        <f>D19*1000/D6</f>
        <v>8.8032255597350755</v>
      </c>
      <c r="E20" s="383">
        <f>E19*1000/E6</f>
        <v>6.7563376119256766</v>
      </c>
    </row>
    <row r="21" spans="1:6" ht="18" customHeight="1" x14ac:dyDescent="0.25">
      <c r="A21" s="148"/>
      <c r="B21" s="139"/>
      <c r="C21" s="139"/>
      <c r="D21" s="139"/>
      <c r="E21" s="139"/>
    </row>
    <row r="22" spans="1:6" ht="18" customHeight="1" thickBot="1" x14ac:dyDescent="0.3">
      <c r="A22" s="138" t="s">
        <v>195</v>
      </c>
      <c r="B22" s="139"/>
      <c r="C22" s="139"/>
      <c r="D22" s="139"/>
      <c r="E22" s="139"/>
    </row>
    <row r="23" spans="1:6" ht="18" customHeight="1" x14ac:dyDescent="0.25">
      <c r="A23" s="140" t="s">
        <v>196</v>
      </c>
      <c r="B23" s="141" t="s">
        <v>161</v>
      </c>
      <c r="C23" s="151">
        <f>('Ship data'!C111*'Emission factors'!C23+'Ship data'!C113*'Emission factors'!B23)/1000</f>
        <v>0.27505436638926539</v>
      </c>
      <c r="D23" s="151">
        <f>('Ship data'!D111*'Emission factors'!E23+'Ship data'!D113*'Emission factors'!D23)/1000</f>
        <v>0.34642775728837849</v>
      </c>
      <c r="E23" s="379">
        <f>('Ship data'!E111*'Emission factors'!G23+'Ship data'!E113*'Emission factors'!F23)/1000</f>
        <v>0.2658778728887834</v>
      </c>
    </row>
    <row r="24" spans="1:6" ht="18" customHeight="1" x14ac:dyDescent="0.25">
      <c r="A24" s="143" t="s">
        <v>197</v>
      </c>
      <c r="B24" s="144" t="s">
        <v>178</v>
      </c>
      <c r="C24" s="152">
        <f>C23*1000/C9</f>
        <v>31.615444412559242</v>
      </c>
      <c r="D24" s="152">
        <f>D23*1000/D9</f>
        <v>39.819282446940058</v>
      </c>
      <c r="E24" s="380">
        <f>E23*1000/E9</f>
        <v>30.560675044687745</v>
      </c>
    </row>
    <row r="25" spans="1:6" s="284" customFormat="1" ht="18" customHeight="1" x14ac:dyDescent="0.25">
      <c r="A25" s="374" t="s">
        <v>198</v>
      </c>
      <c r="B25" s="375" t="s">
        <v>159</v>
      </c>
      <c r="C25" s="145">
        <f>C24*1000/C6</f>
        <v>22.0239947144265</v>
      </c>
      <c r="D25" s="145">
        <f>D24*1000/D6</f>
        <v>27.738963738725225</v>
      </c>
      <c r="E25" s="393">
        <f>E24*1000/E6</f>
        <v>21.289219815177809</v>
      </c>
    </row>
    <row r="26" spans="1:6" s="284" customFormat="1" ht="18" customHeight="1" x14ac:dyDescent="0.25">
      <c r="A26" s="281" t="s">
        <v>479</v>
      </c>
      <c r="B26" s="282" t="s">
        <v>457</v>
      </c>
      <c r="C26" s="544">
        <f>C24*1000/C4</f>
        <v>15.807722206279621</v>
      </c>
      <c r="D26" s="544">
        <f>D24*1000/D4</f>
        <v>19.909641223470029</v>
      </c>
      <c r="E26" s="545">
        <f>E24*1000/E4</f>
        <v>15.280337522343872</v>
      </c>
    </row>
    <row r="27" spans="1:6" s="284" customFormat="1" ht="18" customHeight="1" x14ac:dyDescent="0.25">
      <c r="A27" s="281" t="s">
        <v>456</v>
      </c>
      <c r="B27" s="282" t="s">
        <v>457</v>
      </c>
      <c r="C27" s="478">
        <f>C24*1000/C7</f>
        <v>25.181556680652523</v>
      </c>
      <c r="D27" s="478">
        <f>D24*1000/D7</f>
        <v>31.715876102700165</v>
      </c>
      <c r="E27" s="479">
        <f>E24*1000/E7</f>
        <v>24.341437709826959</v>
      </c>
    </row>
    <row r="28" spans="1:6" s="284" customFormat="1" ht="18" customHeight="1" thickBot="1" x14ac:dyDescent="0.3">
      <c r="A28" s="276" t="s">
        <v>383</v>
      </c>
      <c r="B28" s="277" t="s">
        <v>406</v>
      </c>
      <c r="C28" s="377">
        <f>C24*1000/C7/1.852</f>
        <v>13.596952851324255</v>
      </c>
      <c r="D28" s="377">
        <f>D24*1000/D7/1.852</f>
        <v>17.125203079211751</v>
      </c>
      <c r="E28" s="378">
        <f>E24*1000/E7/1.852</f>
        <v>13.143324897314772</v>
      </c>
      <c r="F28" s="365" t="s">
        <v>382</v>
      </c>
    </row>
    <row r="29" spans="1:6" ht="18" customHeight="1" x14ac:dyDescent="0.25">
      <c r="A29" s="148"/>
      <c r="B29" s="139"/>
      <c r="C29" s="139"/>
      <c r="D29" s="139"/>
      <c r="E29" s="139"/>
    </row>
    <row r="30" spans="1:6" ht="18" customHeight="1" thickBot="1" x14ac:dyDescent="0.3">
      <c r="A30" s="138" t="s">
        <v>199</v>
      </c>
      <c r="B30" s="139"/>
      <c r="C30" s="139"/>
      <c r="D30" s="139"/>
      <c r="E30" s="139"/>
    </row>
    <row r="31" spans="1:6" ht="18" customHeight="1" x14ac:dyDescent="0.25">
      <c r="A31" s="140" t="s">
        <v>179</v>
      </c>
      <c r="B31" s="141" t="s">
        <v>180</v>
      </c>
      <c r="C31" s="142">
        <f>'Ship data'!C111*'Emission factors'!C24+'Ship data'!C113*'Emission factors'!B24</f>
        <v>1.1026248631749933</v>
      </c>
      <c r="D31" s="142">
        <f>'Ship data'!D111*'Emission factors'!E24+'Ship data'!D113*'Emission factors'!D24</f>
        <v>1.3887431182951244</v>
      </c>
      <c r="E31" s="142">
        <f>'Ship data'!E111*'Emission factors'!G24+'Ship data'!E113*'Emission factors'!F24</f>
        <v>1.0658385724382899</v>
      </c>
    </row>
    <row r="32" spans="1:6" ht="18" customHeight="1" x14ac:dyDescent="0.25">
      <c r="A32" s="143" t="s">
        <v>181</v>
      </c>
      <c r="B32" s="144" t="s">
        <v>178</v>
      </c>
      <c r="C32" s="149">
        <f>C31/C9</f>
        <v>0.1267384900201142</v>
      </c>
      <c r="D32" s="149">
        <f>D31/D9</f>
        <v>0.15962564578104879</v>
      </c>
      <c r="E32" s="149">
        <f>E31/E9</f>
        <v>0.12251018074003334</v>
      </c>
    </row>
    <row r="33" spans="1:5" ht="18" customHeight="1" x14ac:dyDescent="0.25">
      <c r="A33" s="143" t="s">
        <v>514</v>
      </c>
      <c r="B33" s="144" t="s">
        <v>457</v>
      </c>
      <c r="C33" s="275">
        <f>C32*1000/C7</f>
        <v>0.10094662685791653</v>
      </c>
      <c r="D33" s="275">
        <f>D32*1000/D7</f>
        <v>0.12714109580330452</v>
      </c>
      <c r="E33" s="275">
        <f>E32*1000/E7</f>
        <v>9.7578797881348739E-2</v>
      </c>
    </row>
    <row r="34" spans="1:5" ht="18" customHeight="1" thickBot="1" x14ac:dyDescent="0.3">
      <c r="A34" s="146" t="s">
        <v>182</v>
      </c>
      <c r="B34" s="147" t="s">
        <v>159</v>
      </c>
      <c r="C34" s="150">
        <f>C32*1000/C6</f>
        <v>8.8288742612409751E-2</v>
      </c>
      <c r="D34" s="150">
        <f>D32*1000/D6</f>
        <v>0.11119863864928513</v>
      </c>
      <c r="E34" s="150">
        <f>E32*1000/E6</f>
        <v>8.5343211940113781E-2</v>
      </c>
    </row>
    <row r="35" spans="1:5" ht="18" customHeight="1" x14ac:dyDescent="0.25">
      <c r="A35" s="148"/>
      <c r="B35" s="139"/>
      <c r="C35" s="139"/>
      <c r="D35" s="139"/>
      <c r="E35" s="139"/>
    </row>
    <row r="36" spans="1:5" ht="18" customHeight="1" thickBot="1" x14ac:dyDescent="0.3">
      <c r="A36" s="138" t="s">
        <v>183</v>
      </c>
      <c r="B36" s="139"/>
      <c r="C36" s="139"/>
      <c r="D36" s="139"/>
      <c r="E36" s="139"/>
    </row>
    <row r="37" spans="1:5" ht="18" customHeight="1" x14ac:dyDescent="0.25">
      <c r="A37" s="140" t="s">
        <v>184</v>
      </c>
      <c r="B37" s="141" t="s">
        <v>180</v>
      </c>
      <c r="C37" s="142">
        <f>'Ship data'!C111*'Emission factors'!C30+'Ship data'!C113*'Emission factors'!B30</f>
        <v>0.18331138350284271</v>
      </c>
      <c r="D37" s="142">
        <f>'Ship data'!D111*'Emission factors'!E30+'Ship data'!D113*'Emission factors'!D30</f>
        <v>0.23087854341656452</v>
      </c>
      <c r="E37" s="142">
        <f>'Ship data'!E111*'Emission factors'!G30+'Ship data'!E113*'Emission factors'!F30</f>
        <v>0.17719566266786579</v>
      </c>
    </row>
    <row r="38" spans="1:5" ht="18" customHeight="1" x14ac:dyDescent="0.25">
      <c r="A38" s="143" t="s">
        <v>185</v>
      </c>
      <c r="B38" s="144" t="s">
        <v>178</v>
      </c>
      <c r="C38" s="149">
        <f>C37/C9</f>
        <v>2.1070273965843992E-2</v>
      </c>
      <c r="D38" s="149">
        <f>D37/D9</f>
        <v>2.6537763611099371E-2</v>
      </c>
      <c r="E38" s="149">
        <f>E37/E9</f>
        <v>2.0367317548030554E-2</v>
      </c>
    </row>
    <row r="39" spans="1:5" ht="18" customHeight="1" x14ac:dyDescent="0.25">
      <c r="A39" s="143" t="s">
        <v>516</v>
      </c>
      <c r="B39" s="144" t="s">
        <v>457</v>
      </c>
      <c r="C39" s="979">
        <f>C38*1000/C7</f>
        <v>1.6782376715128628E-2</v>
      </c>
      <c r="D39" s="979">
        <f>D38*1000/D7</f>
        <v>2.1137207177299382E-2</v>
      </c>
      <c r="E39" s="979">
        <f>E38*1000/E7</f>
        <v>1.6222475147774237E-2</v>
      </c>
    </row>
    <row r="40" spans="1:5" ht="18" customHeight="1" thickBot="1" x14ac:dyDescent="0.3">
      <c r="A40" s="146" t="s">
        <v>186</v>
      </c>
      <c r="B40" s="147" t="s">
        <v>159</v>
      </c>
      <c r="C40" s="155">
        <f>C38*1000/C6</f>
        <v>1.4678003459313126E-2</v>
      </c>
      <c r="D40" s="155">
        <f>D38*1000/D6</f>
        <v>1.8486773675443657E-2</v>
      </c>
      <c r="E40" s="155">
        <f>E38*1000/E6</f>
        <v>1.4188308985043927E-2</v>
      </c>
    </row>
    <row r="41" spans="1:5" ht="18" customHeight="1" x14ac:dyDescent="0.25">
      <c r="A41" s="148"/>
      <c r="B41" s="139"/>
      <c r="C41" s="139"/>
      <c r="D41" s="139"/>
      <c r="E41" s="139"/>
    </row>
    <row r="42" spans="1:5" ht="18" customHeight="1" thickBot="1" x14ac:dyDescent="0.3">
      <c r="A42" s="138" t="s">
        <v>187</v>
      </c>
      <c r="B42" s="139"/>
      <c r="C42" s="139"/>
      <c r="D42" s="139"/>
      <c r="E42" s="139"/>
    </row>
    <row r="43" spans="1:5" ht="18" customHeight="1" x14ac:dyDescent="0.25">
      <c r="A43" s="140" t="s">
        <v>188</v>
      </c>
      <c r="B43" s="141" t="s">
        <v>180</v>
      </c>
      <c r="C43" s="151">
        <f>'Ship data'!C111*'Emission factors'!C27+'Ship data'!C113*'Emission factors'!B27</f>
        <v>0.22971351316145702</v>
      </c>
      <c r="D43" s="151">
        <f>'Ship data'!D111*'Emission factors'!E27+'Ship data'!D113*'Emission factors'!D27</f>
        <v>0.28932148297815097</v>
      </c>
      <c r="E43" s="151">
        <f>'Ship data'!E111*'Emission factors'!G27+'Ship data'!E113*'Emission factors'!F27</f>
        <v>0.22204970259131049</v>
      </c>
    </row>
    <row r="44" spans="1:5" ht="18" customHeight="1" x14ac:dyDescent="0.25">
      <c r="A44" s="143" t="s">
        <v>189</v>
      </c>
      <c r="B44" s="144" t="s">
        <v>178</v>
      </c>
      <c r="C44" s="145">
        <f>C43/C9</f>
        <v>2.6403852087523799E-2</v>
      </c>
      <c r="D44" s="145">
        <f>D43/D9</f>
        <v>3.3255342871051835E-2</v>
      </c>
      <c r="E44" s="145">
        <f>E43/E9</f>
        <v>2.5522954320840289E-2</v>
      </c>
    </row>
    <row r="45" spans="1:5" ht="18" customHeight="1" x14ac:dyDescent="0.25">
      <c r="A45" s="143" t="s">
        <v>517</v>
      </c>
      <c r="B45" s="144" t="s">
        <v>457</v>
      </c>
      <c r="C45" s="979">
        <f>C44*1000/C7</f>
        <v>2.1030547262065949E-2</v>
      </c>
      <c r="D45" s="979">
        <f>D44*1000/D7</f>
        <v>2.6487728292355107E-2</v>
      </c>
      <c r="E45" s="979">
        <f>E44*1000/E7</f>
        <v>2.0328916225280994E-2</v>
      </c>
    </row>
    <row r="46" spans="1:5" ht="18" customHeight="1" thickBot="1" x14ac:dyDescent="0.3">
      <c r="A46" s="146" t="s">
        <v>190</v>
      </c>
      <c r="B46" s="147" t="s">
        <v>159</v>
      </c>
      <c r="C46" s="155">
        <f>C44*1000/C6</f>
        <v>1.8393488044252036E-2</v>
      </c>
      <c r="D46" s="155">
        <f>D44*1000/D6</f>
        <v>2.3166383051934403E-2</v>
      </c>
      <c r="E46" s="155">
        <f>E44*1000/E6</f>
        <v>1.7779835820857046E-2</v>
      </c>
    </row>
    <row r="47" spans="1:5" ht="18" customHeight="1" x14ac:dyDescent="0.25">
      <c r="A47" s="148"/>
      <c r="B47" s="139"/>
      <c r="C47" s="139"/>
      <c r="D47" s="139"/>
      <c r="E47" s="139"/>
    </row>
    <row r="48" spans="1:5" ht="18" customHeight="1" thickBot="1" x14ac:dyDescent="0.3">
      <c r="A48" s="138" t="s">
        <v>435</v>
      </c>
      <c r="B48" s="139"/>
      <c r="C48" s="139"/>
      <c r="D48" s="139"/>
      <c r="E48" s="139"/>
    </row>
    <row r="49" spans="1:5" ht="18" customHeight="1" x14ac:dyDescent="0.25">
      <c r="A49" s="140" t="s">
        <v>188</v>
      </c>
      <c r="B49" s="141" t="s">
        <v>180</v>
      </c>
      <c r="C49" s="151">
        <f>'Ship data'!C111*'Emission factors'!C28+'Ship data'!C113*'Emission factors'!B28</f>
        <v>0.22971351316145702</v>
      </c>
      <c r="D49" s="151">
        <f>'Ship data'!D111*'Emission factors'!E28+'Ship data'!D113*'Emission factors'!D28</f>
        <v>0.28932148297815097</v>
      </c>
      <c r="E49" s="151">
        <f>'Ship data'!E111*'Emission factors'!G28+'Ship data'!E113*'Emission factors'!F28</f>
        <v>0.22204970259131049</v>
      </c>
    </row>
    <row r="50" spans="1:5" ht="18" customHeight="1" x14ac:dyDescent="0.25">
      <c r="A50" s="143" t="s">
        <v>189</v>
      </c>
      <c r="B50" s="144" t="s">
        <v>178</v>
      </c>
      <c r="C50" s="145">
        <f>C49/C9</f>
        <v>2.6403852087523799E-2</v>
      </c>
      <c r="D50" s="145">
        <f>D49/D9</f>
        <v>3.3255342871051835E-2</v>
      </c>
      <c r="E50" s="145">
        <f>E49/E9</f>
        <v>2.5522954320840289E-2</v>
      </c>
    </row>
    <row r="51" spans="1:5" ht="18" customHeight="1" x14ac:dyDescent="0.25">
      <c r="A51" s="143" t="s">
        <v>517</v>
      </c>
      <c r="B51" s="144" t="s">
        <v>457</v>
      </c>
      <c r="C51" s="979">
        <f>C50*1000/C7</f>
        <v>2.1030547262065949E-2</v>
      </c>
      <c r="D51" s="979">
        <f>D50*1000/D7</f>
        <v>2.6487728292355107E-2</v>
      </c>
      <c r="E51" s="979">
        <f>E50*1000/E7</f>
        <v>2.0328916225280994E-2</v>
      </c>
    </row>
    <row r="52" spans="1:5" ht="18" customHeight="1" thickBot="1" x14ac:dyDescent="0.3">
      <c r="A52" s="146" t="s">
        <v>190</v>
      </c>
      <c r="B52" s="147" t="s">
        <v>159</v>
      </c>
      <c r="C52" s="155">
        <f>C50*1000/C6</f>
        <v>1.8393488044252036E-2</v>
      </c>
      <c r="D52" s="155">
        <f>D50*1000/D6</f>
        <v>2.3166383051934403E-2</v>
      </c>
      <c r="E52" s="155">
        <f>E50*1000/E6</f>
        <v>1.7779835820857046E-2</v>
      </c>
    </row>
    <row r="53" spans="1:5" ht="18" customHeight="1" x14ac:dyDescent="0.25">
      <c r="A53" s="148"/>
      <c r="B53" s="139"/>
      <c r="C53" s="139"/>
      <c r="D53" s="139"/>
      <c r="E53" s="139"/>
    </row>
    <row r="54" spans="1:5" ht="18" customHeight="1" thickBot="1" x14ac:dyDescent="0.3">
      <c r="A54" s="138" t="s">
        <v>191</v>
      </c>
      <c r="B54" s="139"/>
      <c r="C54" s="139"/>
      <c r="D54" s="139"/>
      <c r="E54" s="139"/>
    </row>
    <row r="55" spans="1:5" ht="18" customHeight="1" x14ac:dyDescent="0.25">
      <c r="A55" s="140" t="s">
        <v>192</v>
      </c>
      <c r="B55" s="141" t="s">
        <v>180</v>
      </c>
      <c r="C55" s="151">
        <f>'Ship data'!C111*'Emission factors'!C29+'Ship data'!C113*'Emission factors'!B29</f>
        <v>0.12364559559428581</v>
      </c>
      <c r="D55" s="151">
        <f>'Ship data'!D111*'Emission factors'!E29+'Ship data'!D113*'Emission factors'!D29</f>
        <v>0.15573018142781953</v>
      </c>
      <c r="E55" s="151">
        <f>'Ship data'!E111*'Emission factors'!G29+'Ship data'!E113*'Emission factors'!F29</f>
        <v>0.11952047291679876</v>
      </c>
    </row>
    <row r="56" spans="1:5" ht="18" customHeight="1" x14ac:dyDescent="0.25">
      <c r="A56" s="143" t="s">
        <v>193</v>
      </c>
      <c r="B56" s="144" t="s">
        <v>178</v>
      </c>
      <c r="C56" s="145">
        <f>C55/C9</f>
        <v>1.4212137424630554E-2</v>
      </c>
      <c r="D56" s="145">
        <f>D55/D9</f>
        <v>1.7900020853772361E-2</v>
      </c>
      <c r="E56" s="145">
        <f>E55/E9</f>
        <v>1.3737985392735491E-2</v>
      </c>
    </row>
    <row r="57" spans="1:5" ht="18" customHeight="1" x14ac:dyDescent="0.25">
      <c r="A57" s="143" t="s">
        <v>515</v>
      </c>
      <c r="B57" s="144" t="s">
        <v>457</v>
      </c>
      <c r="C57" s="979">
        <f>C56*1000/C7</f>
        <v>1.1319902369279614E-2</v>
      </c>
      <c r="D57" s="979">
        <f>D56*1000/D7</f>
        <v>1.4257284630643059E-2</v>
      </c>
      <c r="E57" s="979">
        <f>E56*1000/E7</f>
        <v>1.0942242447419745E-2</v>
      </c>
    </row>
    <row r="58" spans="1:5" ht="18" customHeight="1" thickBot="1" x14ac:dyDescent="0.3">
      <c r="A58" s="146" t="s">
        <v>194</v>
      </c>
      <c r="B58" s="147" t="s">
        <v>159</v>
      </c>
      <c r="C58" s="155">
        <f>C56*1000/C6</f>
        <v>9.9004788746990986E-3</v>
      </c>
      <c r="D58" s="155">
        <f>D56*1000/D6</f>
        <v>1.2469537341534212E-2</v>
      </c>
      <c r="E58" s="155">
        <f>E56*1000/E6</f>
        <v>9.5701744289345102E-3</v>
      </c>
    </row>
  </sheetData>
  <sheetProtection password="CC7C" sheet="1" objects="1" scenarios="1"/>
  <phoneticPr fontId="2" type="noConversion"/>
  <pageMargins left="0.75" right="0.75" top="1" bottom="1"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tabColor indexed="11"/>
  </sheetPr>
  <dimension ref="A1:G47"/>
  <sheetViews>
    <sheetView topLeftCell="A8" workbookViewId="0">
      <selection activeCell="A25" sqref="A25"/>
    </sheetView>
  </sheetViews>
  <sheetFormatPr defaultRowHeight="13.2" x14ac:dyDescent="0.25"/>
  <cols>
    <col min="1" max="1" width="35.5546875" customWidth="1"/>
    <col min="2" max="2" width="14.5546875" style="1" customWidth="1"/>
    <col min="3" max="3" width="14.5546875" customWidth="1"/>
    <col min="4" max="4" width="14.5546875" style="1" customWidth="1"/>
    <col min="5" max="5" width="14.5546875" customWidth="1"/>
    <col min="6" max="6" width="14.5546875" style="1" customWidth="1"/>
    <col min="7" max="7" width="14.5546875" customWidth="1"/>
    <col min="8" max="8" width="9.88671875" customWidth="1"/>
  </cols>
  <sheetData>
    <row r="1" spans="1:7" ht="18.600000000000001" thickTop="1" thickBot="1" x14ac:dyDescent="0.35">
      <c r="A1" s="339" t="s">
        <v>320</v>
      </c>
      <c r="B1" s="340" t="s">
        <v>336</v>
      </c>
      <c r="C1" s="341" t="s">
        <v>337</v>
      </c>
      <c r="D1" s="340" t="s">
        <v>336</v>
      </c>
      <c r="E1" s="342" t="s">
        <v>337</v>
      </c>
      <c r="F1" s="340" t="s">
        <v>336</v>
      </c>
      <c r="G1" s="342" t="s">
        <v>337</v>
      </c>
    </row>
    <row r="2" spans="1:7" ht="16.5" customHeight="1" x14ac:dyDescent="0.25">
      <c r="A2" s="306" t="s">
        <v>341</v>
      </c>
      <c r="B2" s="317">
        <f>'Ship data'!C79</f>
        <v>2</v>
      </c>
      <c r="C2" s="318">
        <v>2</v>
      </c>
      <c r="D2" s="317">
        <f>'Ship data'!D79</f>
        <v>2</v>
      </c>
      <c r="E2" s="318">
        <v>2</v>
      </c>
      <c r="F2" s="317">
        <f>'Ship data'!E79</f>
        <v>2</v>
      </c>
      <c r="G2" s="319">
        <v>2</v>
      </c>
    </row>
    <row r="3" spans="1:7" ht="16.5" customHeight="1" x14ac:dyDescent="0.25">
      <c r="A3" s="307" t="s">
        <v>325</v>
      </c>
      <c r="B3" s="320">
        <f>'Ship data'!C86</f>
        <v>0</v>
      </c>
      <c r="C3" s="321" t="s">
        <v>3</v>
      </c>
      <c r="D3" s="320">
        <f>'Ship data'!D86</f>
        <v>0</v>
      </c>
      <c r="E3" s="321" t="s">
        <v>3</v>
      </c>
      <c r="F3" s="320">
        <f>'Ship data'!E86</f>
        <v>0</v>
      </c>
      <c r="G3" s="322" t="s">
        <v>3</v>
      </c>
    </row>
    <row r="4" spans="1:7" ht="30" customHeight="1" x14ac:dyDescent="0.25">
      <c r="A4" s="309" t="s">
        <v>371</v>
      </c>
      <c r="B4" s="320">
        <f>'Ship data'!C81</f>
        <v>2</v>
      </c>
      <c r="C4" s="323">
        <f>IF(B4=1,2,B4)</f>
        <v>2</v>
      </c>
      <c r="D4" s="320">
        <f>'Ship data'!D81</f>
        <v>2</v>
      </c>
      <c r="E4" s="323">
        <f>IF(D4=1,2,D4)</f>
        <v>2</v>
      </c>
      <c r="F4" s="320">
        <f>'Ship data'!E81</f>
        <v>2</v>
      </c>
      <c r="G4" s="324">
        <f>IF(F4=1,2,F4)</f>
        <v>2</v>
      </c>
    </row>
    <row r="5" spans="1:7" ht="30" customHeight="1" x14ac:dyDescent="0.25">
      <c r="A5" s="410" t="s">
        <v>398</v>
      </c>
      <c r="B5" s="320">
        <f>'Ship data'!C82</f>
        <v>1</v>
      </c>
      <c r="C5" s="323" t="s">
        <v>3</v>
      </c>
      <c r="D5" s="320">
        <f>'Ship data'!D82</f>
        <v>1</v>
      </c>
      <c r="E5" s="323" t="s">
        <v>3</v>
      </c>
      <c r="F5" s="320">
        <f>'Ship data'!E82</f>
        <v>1</v>
      </c>
      <c r="G5" s="324" t="s">
        <v>3</v>
      </c>
    </row>
    <row r="6" spans="1:7" ht="16.5" customHeight="1" x14ac:dyDescent="0.25">
      <c r="A6" s="308" t="s">
        <v>352</v>
      </c>
      <c r="B6" s="320">
        <f>'Ship data'!C87</f>
        <v>0</v>
      </c>
      <c r="C6" s="323" t="s">
        <v>3</v>
      </c>
      <c r="D6" s="320">
        <f>'Ship data'!D87</f>
        <v>0</v>
      </c>
      <c r="E6" s="323" t="s">
        <v>3</v>
      </c>
      <c r="F6" s="320">
        <f>'Ship data'!E87</f>
        <v>0</v>
      </c>
      <c r="G6" s="324" t="s">
        <v>3</v>
      </c>
    </row>
    <row r="7" spans="1:7" ht="30" customHeight="1" x14ac:dyDescent="0.25">
      <c r="A7" s="309" t="s">
        <v>323</v>
      </c>
      <c r="B7" s="320">
        <f>'Ship data'!C88</f>
        <v>3</v>
      </c>
      <c r="C7" s="323">
        <f>B7</f>
        <v>3</v>
      </c>
      <c r="D7" s="320">
        <f>'Ship data'!D88</f>
        <v>3</v>
      </c>
      <c r="E7" s="323">
        <f>D7</f>
        <v>3</v>
      </c>
      <c r="F7" s="320">
        <f>'Ship data'!E88</f>
        <v>3</v>
      </c>
      <c r="G7" s="324">
        <f>F7</f>
        <v>3</v>
      </c>
    </row>
    <row r="8" spans="1:7" s="287" customFormat="1" ht="30" customHeight="1" x14ac:dyDescent="0.25">
      <c r="A8" s="308" t="s">
        <v>360</v>
      </c>
      <c r="B8" s="320">
        <f>'Ship data'!C89</f>
        <v>3</v>
      </c>
      <c r="C8" s="323">
        <f>B8</f>
        <v>3</v>
      </c>
      <c r="D8" s="320">
        <f>'Ship data'!D89</f>
        <v>3</v>
      </c>
      <c r="E8" s="323">
        <f>D8</f>
        <v>3</v>
      </c>
      <c r="F8" s="320">
        <f>'Ship data'!E89</f>
        <v>3</v>
      </c>
      <c r="G8" s="324">
        <f>F8</f>
        <v>3</v>
      </c>
    </row>
    <row r="9" spans="1:7" ht="16.5" customHeight="1" x14ac:dyDescent="0.25">
      <c r="A9" s="310" t="s">
        <v>345</v>
      </c>
      <c r="B9" s="325">
        <f>'Ship data'!C84</f>
        <v>0.1</v>
      </c>
      <c r="C9" s="326" t="s">
        <v>3</v>
      </c>
      <c r="D9" s="325">
        <f>'Ship data'!D84</f>
        <v>0.1</v>
      </c>
      <c r="E9" s="326" t="s">
        <v>3</v>
      </c>
      <c r="F9" s="325">
        <f>'Ship data'!E84</f>
        <v>0.1</v>
      </c>
      <c r="G9" s="327" t="s">
        <v>3</v>
      </c>
    </row>
    <row r="10" spans="1:7" ht="16.5" customHeight="1" x14ac:dyDescent="0.25">
      <c r="A10" s="310" t="s">
        <v>346</v>
      </c>
      <c r="B10" s="325">
        <f>'Ship data'!C85</f>
        <v>0.1</v>
      </c>
      <c r="C10" s="326">
        <f>B10</f>
        <v>0.1</v>
      </c>
      <c r="D10" s="325">
        <f>'Ship data'!D85</f>
        <v>0.1</v>
      </c>
      <c r="E10" s="326">
        <f>D10</f>
        <v>0.1</v>
      </c>
      <c r="F10" s="325">
        <f>'Ship data'!E85</f>
        <v>0.1</v>
      </c>
      <c r="G10" s="327">
        <f>F10</f>
        <v>0.1</v>
      </c>
    </row>
    <row r="11" spans="1:7" ht="16.5" customHeight="1" thickBot="1" x14ac:dyDescent="0.3">
      <c r="A11" s="311" t="s">
        <v>324</v>
      </c>
      <c r="B11" s="328">
        <f>'Ship data'!C90</f>
        <v>0</v>
      </c>
      <c r="C11" s="329">
        <f>B11</f>
        <v>0</v>
      </c>
      <c r="D11" s="328">
        <f>'Ship data'!D90</f>
        <v>0</v>
      </c>
      <c r="E11" s="329">
        <f>D11</f>
        <v>0</v>
      </c>
      <c r="F11" s="328">
        <f>'Ship data'!E90</f>
        <v>0</v>
      </c>
      <c r="G11" s="330">
        <f>F11</f>
        <v>0</v>
      </c>
    </row>
    <row r="12" spans="1:7" s="430" customFormat="1" ht="25.8" customHeight="1" thickTop="1" thickBot="1" x14ac:dyDescent="0.3">
      <c r="A12" s="964" t="s">
        <v>369</v>
      </c>
      <c r="B12" s="928"/>
      <c r="C12" s="929"/>
      <c r="D12" s="930"/>
      <c r="E12" s="930"/>
      <c r="F12" s="930"/>
      <c r="G12" s="931"/>
    </row>
    <row r="13" spans="1:7" s="430" customFormat="1" ht="16.5" customHeight="1" thickTop="1" x14ac:dyDescent="0.25">
      <c r="A13" s="965" t="s">
        <v>329</v>
      </c>
      <c r="B13" s="969">
        <f>IF(B5&gt;1,B5/1000,IF(B4=4,IF(B2=1,0.15,0.16),IF(B4=3,0.155,IF(B2=1,0.17,0.19)*(1+B37/100)*42.7/B31)))</f>
        <v>0.19000000000000003</v>
      </c>
      <c r="C13" s="932">
        <f>IF(C4=3,0.155,IF(C4=4,0.16,0.19*42.7/C31*(1+C37/100)))</f>
        <v>0.19000000000000003</v>
      </c>
      <c r="D13" s="933">
        <f>IF(D5&gt;5,D5/1000,IF(D4=4,IF(D2=1,0.15,0.16),IF(D4=3,0.155,IF(D2=1,0.17,0.19)*(1+D37/100)*42.7/D31)))</f>
        <v>0.19000000000000003</v>
      </c>
      <c r="E13" s="934">
        <f>IF(E4=3,0.155,IF(E4=4,0.16,0.19*42.7/E31*(1+E37/100)))</f>
        <v>0.19000000000000003</v>
      </c>
      <c r="F13" s="935">
        <f>IF(F5&gt;1,F5/1000,IF(F4=4,IF(F2=1,0.15,0.16),IF(F4=3,0.155,IF(F2=1,0.17,0.19)*(1+F37/100)*42.7/F31)))</f>
        <v>0.19000000000000003</v>
      </c>
      <c r="G13" s="932">
        <f>IF(G4=3,0.155,IF(G4=4,0.16,0.19*42.7/G31*(1+G37/100)))</f>
        <v>0.19000000000000003</v>
      </c>
    </row>
    <row r="14" spans="1:7" s="430" customFormat="1" ht="16.5" customHeight="1" x14ac:dyDescent="0.25">
      <c r="A14" s="966" t="s">
        <v>361</v>
      </c>
      <c r="B14" s="970">
        <f>B13*B23</f>
        <v>598.69000000000005</v>
      </c>
      <c r="C14" s="936">
        <f>C23*C13</f>
        <v>598.69000000000005</v>
      </c>
      <c r="D14" s="937">
        <f>D13*D23</f>
        <v>598.69000000000005</v>
      </c>
      <c r="E14" s="936">
        <f>E23*E13</f>
        <v>598.69000000000005</v>
      </c>
      <c r="F14" s="938">
        <f>F13*F23</f>
        <v>598.69000000000005</v>
      </c>
      <c r="G14" s="936">
        <f>G23*G13</f>
        <v>598.69000000000005</v>
      </c>
    </row>
    <row r="15" spans="1:7" s="430" customFormat="1" ht="16.5" customHeight="1" x14ac:dyDescent="0.25">
      <c r="A15" s="966" t="s">
        <v>518</v>
      </c>
      <c r="B15" s="971">
        <f t="shared" ref="B15:G15" si="0">IF(AND(B2=1,B4=4),IF(B7&lt;3,12,3.4),IF(AND(B2=2,B4=4),IF(B7&lt;3,9.6,2.4),IF(AND(B2=2,B4=3),1.3,IF(OR(B4=1,B4=2),IF(B2=1,17,12)*(1-B38/100)))))</f>
        <v>2.3999999999999995</v>
      </c>
      <c r="C15" s="939">
        <f t="shared" si="0"/>
        <v>2.3999999999999995</v>
      </c>
      <c r="D15" s="940">
        <f t="shared" si="0"/>
        <v>2.3999999999999995</v>
      </c>
      <c r="E15" s="939">
        <f t="shared" si="0"/>
        <v>2.3999999999999995</v>
      </c>
      <c r="F15" s="941">
        <f t="shared" si="0"/>
        <v>2.3999999999999995</v>
      </c>
      <c r="G15" s="939">
        <f t="shared" si="0"/>
        <v>2.3999999999999995</v>
      </c>
    </row>
    <row r="16" spans="1:7" s="430" customFormat="1" ht="16.5" customHeight="1" x14ac:dyDescent="0.25">
      <c r="A16" s="966" t="s">
        <v>510</v>
      </c>
      <c r="B16" s="971">
        <f>B15*0.8</f>
        <v>1.9199999999999997</v>
      </c>
      <c r="C16" s="939">
        <v>9.6000000000000014</v>
      </c>
      <c r="D16" s="940"/>
      <c r="E16" s="939"/>
      <c r="F16" s="941"/>
      <c r="G16" s="939"/>
    </row>
    <row r="17" spans="1:7" s="430" customFormat="1" ht="16.5" customHeight="1" x14ac:dyDescent="0.25">
      <c r="A17" s="966" t="s">
        <v>511</v>
      </c>
      <c r="B17" s="971">
        <f>B15*0.2</f>
        <v>0.47999999999999993</v>
      </c>
      <c r="C17" s="939">
        <v>2.4000000000000004</v>
      </c>
      <c r="D17" s="940"/>
      <c r="E17" s="939"/>
      <c r="F17" s="941"/>
      <c r="G17" s="939"/>
    </row>
    <row r="18" spans="1:7" s="430" customFormat="1" ht="16.5" customHeight="1" x14ac:dyDescent="0.25">
      <c r="A18" s="966" t="s">
        <v>200</v>
      </c>
      <c r="B18" s="972">
        <f t="shared" ref="B18:G18" si="1">IF(B4&lt;3,IF(B2=1,0.35,0.5),IF(B2=1,0.3,1.3))</f>
        <v>0.5</v>
      </c>
      <c r="C18" s="942">
        <f t="shared" si="1"/>
        <v>0.5</v>
      </c>
      <c r="D18" s="943">
        <f t="shared" si="1"/>
        <v>0.5</v>
      </c>
      <c r="E18" s="942">
        <f t="shared" si="1"/>
        <v>0.5</v>
      </c>
      <c r="F18" s="944">
        <f t="shared" si="1"/>
        <v>0.5</v>
      </c>
      <c r="G18" s="942">
        <f t="shared" si="1"/>
        <v>0.5</v>
      </c>
    </row>
    <row r="19" spans="1:7" s="430" customFormat="1" ht="16.5" customHeight="1" x14ac:dyDescent="0.25">
      <c r="A19" s="966" t="s">
        <v>201</v>
      </c>
      <c r="B19" s="972">
        <v>0.5</v>
      </c>
      <c r="C19" s="942">
        <v>0.5</v>
      </c>
      <c r="D19" s="943">
        <v>0.5</v>
      </c>
      <c r="E19" s="942">
        <v>0.5</v>
      </c>
      <c r="F19" s="944">
        <v>0.5</v>
      </c>
      <c r="G19" s="942">
        <v>0.5</v>
      </c>
    </row>
    <row r="20" spans="1:7" s="430" customFormat="1" ht="16.5" customHeight="1" x14ac:dyDescent="0.25">
      <c r="A20" s="966" t="s">
        <v>202</v>
      </c>
      <c r="B20" s="972">
        <f t="shared" ref="B20:G20" si="2">IF(B4&gt;2,IF(B4=3,0.03,0.1),(0.26+0.081*B21+0.103*B21^2)*(1-B39/100))</f>
        <v>0.26912999999999998</v>
      </c>
      <c r="C20" s="942">
        <f t="shared" si="2"/>
        <v>0.26912999999999998</v>
      </c>
      <c r="D20" s="943">
        <f t="shared" si="2"/>
        <v>0.26912999999999998</v>
      </c>
      <c r="E20" s="942">
        <f t="shared" si="2"/>
        <v>0.26912999999999998</v>
      </c>
      <c r="F20" s="944">
        <f t="shared" si="2"/>
        <v>0.26912999999999998</v>
      </c>
      <c r="G20" s="942">
        <f t="shared" si="2"/>
        <v>0.26912999999999998</v>
      </c>
    </row>
    <row r="21" spans="1:7" s="430" customFormat="1" ht="16.5" customHeight="1" x14ac:dyDescent="0.25">
      <c r="A21" s="966" t="s">
        <v>203</v>
      </c>
      <c r="B21" s="971">
        <f>IF(B4=1,B9,B10)</f>
        <v>0.1</v>
      </c>
      <c r="C21" s="939">
        <f>B10</f>
        <v>0.1</v>
      </c>
      <c r="D21" s="940">
        <f>IF(D4=1,D9,D10)</f>
        <v>0.1</v>
      </c>
      <c r="E21" s="939">
        <f>D10</f>
        <v>0.1</v>
      </c>
      <c r="F21" s="941">
        <f>IF(F4=1,F9,F10)</f>
        <v>0.1</v>
      </c>
      <c r="G21" s="939">
        <f>F10</f>
        <v>0.1</v>
      </c>
    </row>
    <row r="22" spans="1:7" s="430" customFormat="1" ht="16.5" customHeight="1" x14ac:dyDescent="0.25">
      <c r="A22" s="967" t="s">
        <v>362</v>
      </c>
      <c r="B22" s="973">
        <f t="shared" ref="B22:G22" si="3">IF(B4&lt;3,B13*21*B21*(1-B40/100),(IF(B4=3,0,0.19*21*B21*$B43/100)))</f>
        <v>0.39900000000000008</v>
      </c>
      <c r="C22" s="945">
        <f t="shared" si="3"/>
        <v>0.39900000000000008</v>
      </c>
      <c r="D22" s="946">
        <f t="shared" si="3"/>
        <v>0.39900000000000008</v>
      </c>
      <c r="E22" s="945">
        <f t="shared" si="3"/>
        <v>0.39900000000000008</v>
      </c>
      <c r="F22" s="947">
        <f t="shared" si="3"/>
        <v>0.39900000000000008</v>
      </c>
      <c r="G22" s="945">
        <f t="shared" si="3"/>
        <v>0.39900000000000008</v>
      </c>
    </row>
    <row r="23" spans="1:7" s="430" customFormat="1" ht="16.5" customHeight="1" x14ac:dyDescent="0.25">
      <c r="A23" s="965" t="s">
        <v>363</v>
      </c>
      <c r="B23" s="974">
        <v>3151</v>
      </c>
      <c r="C23" s="948">
        <v>3151</v>
      </c>
      <c r="D23" s="949">
        <v>3151</v>
      </c>
      <c r="E23" s="948">
        <v>3151</v>
      </c>
      <c r="F23" s="950">
        <v>3151</v>
      </c>
      <c r="G23" s="948">
        <v>3151</v>
      </c>
    </row>
    <row r="24" spans="1:7" s="430" customFormat="1" ht="16.5" customHeight="1" x14ac:dyDescent="0.25">
      <c r="A24" s="966" t="s">
        <v>519</v>
      </c>
      <c r="B24" s="975">
        <f t="shared" ref="B24:G24" si="4">B15/B$13</f>
        <v>12.631578947368416</v>
      </c>
      <c r="C24" s="951">
        <f t="shared" si="4"/>
        <v>12.631578947368416</v>
      </c>
      <c r="D24" s="952">
        <f t="shared" si="4"/>
        <v>12.631578947368416</v>
      </c>
      <c r="E24" s="951">
        <f t="shared" si="4"/>
        <v>12.631578947368416</v>
      </c>
      <c r="F24" s="953">
        <f t="shared" si="4"/>
        <v>12.631578947368416</v>
      </c>
      <c r="G24" s="951">
        <f t="shared" si="4"/>
        <v>12.631578947368416</v>
      </c>
    </row>
    <row r="25" spans="1:7" s="430" customFormat="1" ht="16.5" customHeight="1" x14ac:dyDescent="0.25">
      <c r="A25" s="966" t="s">
        <v>512</v>
      </c>
      <c r="B25" s="975">
        <f>B24*0.8</f>
        <v>10.105263157894733</v>
      </c>
      <c r="C25" s="951">
        <f>C24*0.8</f>
        <v>10.105263157894733</v>
      </c>
      <c r="D25" s="952"/>
      <c r="E25" s="951"/>
      <c r="F25" s="953"/>
      <c r="G25" s="951"/>
    </row>
    <row r="26" spans="1:7" s="430" customFormat="1" ht="16.5" customHeight="1" x14ac:dyDescent="0.25">
      <c r="A26" s="966" t="s">
        <v>513</v>
      </c>
      <c r="B26" s="975">
        <f>B24*0.2</f>
        <v>2.5263157894736832</v>
      </c>
      <c r="C26" s="951">
        <f>C24*0.2</f>
        <v>2.5263157894736832</v>
      </c>
      <c r="D26" s="952"/>
      <c r="E26" s="951"/>
      <c r="F26" s="953"/>
      <c r="G26" s="951"/>
    </row>
    <row r="27" spans="1:7" s="430" customFormat="1" ht="16.5" customHeight="1" x14ac:dyDescent="0.25">
      <c r="A27" s="966" t="s">
        <v>330</v>
      </c>
      <c r="B27" s="976">
        <f t="shared" ref="B27:G28" si="5">B18/B$13</f>
        <v>2.6315789473684208</v>
      </c>
      <c r="C27" s="954">
        <f t="shared" si="5"/>
        <v>2.6315789473684208</v>
      </c>
      <c r="D27" s="955">
        <f t="shared" si="5"/>
        <v>2.6315789473684208</v>
      </c>
      <c r="E27" s="954">
        <f t="shared" si="5"/>
        <v>2.6315789473684208</v>
      </c>
      <c r="F27" s="956">
        <f t="shared" si="5"/>
        <v>2.6315789473684208</v>
      </c>
      <c r="G27" s="954">
        <f t="shared" si="5"/>
        <v>2.6315789473684208</v>
      </c>
    </row>
    <row r="28" spans="1:7" s="430" customFormat="1" ht="16.5" customHeight="1" x14ac:dyDescent="0.25">
      <c r="A28" s="966" t="s">
        <v>331</v>
      </c>
      <c r="B28" s="976">
        <f t="shared" si="5"/>
        <v>2.6315789473684208</v>
      </c>
      <c r="C28" s="954">
        <f t="shared" si="5"/>
        <v>2.6315789473684208</v>
      </c>
      <c r="D28" s="955">
        <f t="shared" si="5"/>
        <v>2.6315789473684208</v>
      </c>
      <c r="E28" s="954">
        <f t="shared" si="5"/>
        <v>2.6315789473684208</v>
      </c>
      <c r="F28" s="956">
        <f t="shared" si="5"/>
        <v>2.6315789473684208</v>
      </c>
      <c r="G28" s="954">
        <f t="shared" si="5"/>
        <v>2.6315789473684208</v>
      </c>
    </row>
    <row r="29" spans="1:7" s="430" customFormat="1" ht="16.5" customHeight="1" x14ac:dyDescent="0.25">
      <c r="A29" s="966" t="s">
        <v>332</v>
      </c>
      <c r="B29" s="977">
        <f t="shared" ref="B29:G29" si="6">B20/B13</f>
        <v>1.4164736842105259</v>
      </c>
      <c r="C29" s="957">
        <f t="shared" si="6"/>
        <v>1.4164736842105259</v>
      </c>
      <c r="D29" s="958">
        <f t="shared" si="6"/>
        <v>1.4164736842105259</v>
      </c>
      <c r="E29" s="957">
        <f t="shared" si="6"/>
        <v>1.4164736842105259</v>
      </c>
      <c r="F29" s="959">
        <f t="shared" si="6"/>
        <v>1.4164736842105259</v>
      </c>
      <c r="G29" s="957">
        <f t="shared" si="6"/>
        <v>1.4164736842105259</v>
      </c>
    </row>
    <row r="30" spans="1:7" s="430" customFormat="1" ht="16.5" customHeight="1" thickBot="1" x14ac:dyDescent="0.3">
      <c r="A30" s="968" t="s">
        <v>364</v>
      </c>
      <c r="B30" s="978">
        <f t="shared" ref="B30:G30" si="7">B22/B$13</f>
        <v>2.1</v>
      </c>
      <c r="C30" s="960">
        <f t="shared" si="7"/>
        <v>2.1</v>
      </c>
      <c r="D30" s="961">
        <f t="shared" si="7"/>
        <v>2.1</v>
      </c>
      <c r="E30" s="962">
        <f t="shared" si="7"/>
        <v>2.1</v>
      </c>
      <c r="F30" s="963">
        <f t="shared" si="7"/>
        <v>2.1</v>
      </c>
      <c r="G30" s="962">
        <f t="shared" si="7"/>
        <v>2.1</v>
      </c>
    </row>
    <row r="31" spans="1:7" ht="16.5" customHeight="1" thickTop="1" x14ac:dyDescent="0.25">
      <c r="A31" s="335" t="s">
        <v>344</v>
      </c>
      <c r="B31" s="926">
        <f>IF(B4=4,B33*B44/100+B32*B43/100,IF(B4=3,B33,B32))</f>
        <v>42.7</v>
      </c>
      <c r="C31" s="927">
        <f>IF(C4=4,C33*B44/100+B43/100*C32,IF(C4=3,C33,C32))</f>
        <v>42.7</v>
      </c>
      <c r="D31" s="336">
        <f>IF(D4=4,D33*B44/100+D32*B43/100,IF(D4=3,D33,D32))</f>
        <v>42.7</v>
      </c>
      <c r="E31" s="337">
        <f>IF(E4=4,E33*B44/100+B43/100*E32,IF(E4=3,E33,E32))</f>
        <v>42.7</v>
      </c>
      <c r="F31" s="336">
        <f>IF(F4=4,F33*B44/100+F32*B43/100,IF(F4=3,F33,F32))</f>
        <v>42.7</v>
      </c>
      <c r="G31" s="337">
        <f>IF(G4=4,G33*B44/100+B43/100*G32,IF(G4=3,G33,G32))</f>
        <v>42.7</v>
      </c>
    </row>
    <row r="32" spans="1:7" ht="16.5" customHeight="1" x14ac:dyDescent="0.25">
      <c r="A32" s="314" t="s">
        <v>321</v>
      </c>
      <c r="B32" s="295">
        <f t="shared" ref="B32:G32" si="8">IF(B4=1,40.5,42.7)</f>
        <v>42.7</v>
      </c>
      <c r="C32" s="289">
        <f t="shared" si="8"/>
        <v>42.7</v>
      </c>
      <c r="D32" s="295">
        <f t="shared" si="8"/>
        <v>42.7</v>
      </c>
      <c r="E32" s="296">
        <f t="shared" si="8"/>
        <v>42.7</v>
      </c>
      <c r="F32" s="295">
        <f t="shared" si="8"/>
        <v>42.7</v>
      </c>
      <c r="G32" s="296">
        <f t="shared" si="8"/>
        <v>42.7</v>
      </c>
    </row>
    <row r="33" spans="1:7" ht="16.5" customHeight="1" x14ac:dyDescent="0.25">
      <c r="A33" s="315" t="s">
        <v>333</v>
      </c>
      <c r="B33" s="293">
        <v>50</v>
      </c>
      <c r="C33" s="288">
        <v>50</v>
      </c>
      <c r="D33" s="293">
        <v>50</v>
      </c>
      <c r="E33" s="294">
        <v>50</v>
      </c>
      <c r="F33" s="293">
        <v>50</v>
      </c>
      <c r="G33" s="294">
        <v>50</v>
      </c>
    </row>
    <row r="34" spans="1:7" ht="16.5" customHeight="1" x14ac:dyDescent="0.25">
      <c r="A34" s="313" t="s">
        <v>338</v>
      </c>
      <c r="B34" s="297">
        <f>IF(B2=1,-B3*4,0)</f>
        <v>0</v>
      </c>
      <c r="C34" s="290">
        <v>0</v>
      </c>
      <c r="D34" s="297">
        <f>IF(D2=1,-D3*4,0)</f>
        <v>0</v>
      </c>
      <c r="E34" s="298">
        <v>0</v>
      </c>
      <c r="F34" s="297">
        <f>IF(F2=1,-F3*4,0)</f>
        <v>0</v>
      </c>
      <c r="G34" s="298">
        <v>0</v>
      </c>
    </row>
    <row r="35" spans="1:7" ht="16.5" customHeight="1" x14ac:dyDescent="0.25">
      <c r="A35" s="313" t="s">
        <v>339</v>
      </c>
      <c r="B35" s="299">
        <f>IF(B11=1,3,0)</f>
        <v>0</v>
      </c>
      <c r="C35" s="291">
        <f>B35</f>
        <v>0</v>
      </c>
      <c r="D35" s="299">
        <f>IF(D11=1,3,0)</f>
        <v>0</v>
      </c>
      <c r="E35" s="300">
        <f>D35</f>
        <v>0</v>
      </c>
      <c r="F35" s="299">
        <f>IF(F11=1,3,0)</f>
        <v>0</v>
      </c>
      <c r="G35" s="300">
        <f>F35</f>
        <v>0</v>
      </c>
    </row>
    <row r="36" spans="1:7" ht="16.5" customHeight="1" x14ac:dyDescent="0.25">
      <c r="A36" s="313" t="s">
        <v>358</v>
      </c>
      <c r="B36" s="299">
        <f>IF(OR(B7=1,B8=2,B8=3),0,IF(B8=1,(IF(B7=2,IF(B6=0,2,0.5),IF(B7=3,IF(B6=0,3,1.3))))))</f>
        <v>0</v>
      </c>
      <c r="C36" s="292">
        <f>B36</f>
        <v>0</v>
      </c>
      <c r="D36" s="299">
        <f>IF(OR(D7=1,D8=2,D8=3),0,IF(D8=1,(IF(D7=2,IF(D6=0,2,0.5),IF(D7=3,IF(D6=0,3,1.3))))))</f>
        <v>0</v>
      </c>
      <c r="E36" s="301">
        <f>D36</f>
        <v>0</v>
      </c>
      <c r="F36" s="299">
        <f>IF(OR(F7=1,F8=2,F8=3),0,IF(F8=1,(IF(F7=2,IF(F6=0,2,0.5),IF(F7=3,IF(F6=0,3,1.3))))))</f>
        <v>0</v>
      </c>
      <c r="G36" s="301">
        <f>F36</f>
        <v>0</v>
      </c>
    </row>
    <row r="37" spans="1:7" ht="16.5" customHeight="1" x14ac:dyDescent="0.25">
      <c r="A37" s="312" t="s">
        <v>340</v>
      </c>
      <c r="B37" s="297">
        <f t="shared" ref="B37:G37" si="9">SUM(B34:B36)</f>
        <v>0</v>
      </c>
      <c r="C37" s="290">
        <f t="shared" si="9"/>
        <v>0</v>
      </c>
      <c r="D37" s="297">
        <f t="shared" si="9"/>
        <v>0</v>
      </c>
      <c r="E37" s="298">
        <f t="shared" si="9"/>
        <v>0</v>
      </c>
      <c r="F37" s="297">
        <f t="shared" si="9"/>
        <v>0</v>
      </c>
      <c r="G37" s="298">
        <f t="shared" si="9"/>
        <v>0</v>
      </c>
    </row>
    <row r="38" spans="1:7" ht="16.5" customHeight="1" x14ac:dyDescent="0.25">
      <c r="A38" s="313" t="s">
        <v>349</v>
      </c>
      <c r="B38" s="302">
        <f t="shared" ref="B38:G38" si="10">IF(B7=1,0,IF(B7=2,20,IF(B7=3,80)))</f>
        <v>80</v>
      </c>
      <c r="C38" s="292">
        <f t="shared" si="10"/>
        <v>80</v>
      </c>
      <c r="D38" s="302">
        <f t="shared" si="10"/>
        <v>80</v>
      </c>
      <c r="E38" s="301">
        <f t="shared" si="10"/>
        <v>80</v>
      </c>
      <c r="F38" s="302">
        <f t="shared" si="10"/>
        <v>80</v>
      </c>
      <c r="G38" s="301">
        <f t="shared" si="10"/>
        <v>80</v>
      </c>
    </row>
    <row r="39" spans="1:7" ht="16.5" customHeight="1" x14ac:dyDescent="0.25">
      <c r="A39" s="313" t="s">
        <v>328</v>
      </c>
      <c r="B39" s="302">
        <f>IF(AND(B4&lt;3,B11=1),55,0)</f>
        <v>0</v>
      </c>
      <c r="C39" s="292">
        <f>IF(AND(B4&lt;3,C11=1),55,0)</f>
        <v>0</v>
      </c>
      <c r="D39" s="302">
        <f>IF(AND(D4&lt;3,D11=1),55,0)</f>
        <v>0</v>
      </c>
      <c r="E39" s="301">
        <f>IF(AND(D4&lt;3,E11=1),55,0)</f>
        <v>0</v>
      </c>
      <c r="F39" s="302">
        <f>IF(AND(F4&lt;3,F11=1),55,0)</f>
        <v>0</v>
      </c>
      <c r="G39" s="301">
        <f>IF(AND(F4&lt;3,G11=1),55,0)</f>
        <v>0</v>
      </c>
    </row>
    <row r="40" spans="1:7" ht="16.5" customHeight="1" thickBot="1" x14ac:dyDescent="0.3">
      <c r="A40" s="316" t="s">
        <v>365</v>
      </c>
      <c r="B40" s="304">
        <f t="shared" ref="B40:G40" si="11">IF(AND(B4&lt;3,B11=1),98,IF(AND(B4=3,B2=1),92,IF(AND(B4=3,B2=2),100,0)))</f>
        <v>0</v>
      </c>
      <c r="C40" s="303">
        <f t="shared" si="11"/>
        <v>0</v>
      </c>
      <c r="D40" s="304">
        <f t="shared" si="11"/>
        <v>0</v>
      </c>
      <c r="E40" s="305">
        <f t="shared" si="11"/>
        <v>0</v>
      </c>
      <c r="F40" s="304">
        <f t="shared" si="11"/>
        <v>0</v>
      </c>
      <c r="G40" s="305">
        <f t="shared" si="11"/>
        <v>0</v>
      </c>
    </row>
    <row r="41" spans="1:7" ht="16.5" customHeight="1" thickTop="1" thickBot="1" x14ac:dyDescent="0.3">
      <c r="A41" s="285"/>
      <c r="B41" s="286"/>
      <c r="C41" s="285"/>
      <c r="D41" s="286"/>
    </row>
    <row r="42" spans="1:7" ht="16.5" customHeight="1" thickTop="1" thickBot="1" x14ac:dyDescent="0.3">
      <c r="A42" s="343" t="s">
        <v>366</v>
      </c>
      <c r="B42" s="344"/>
      <c r="C42" s="285"/>
      <c r="D42" s="286"/>
    </row>
    <row r="43" spans="1:7" ht="16.5" customHeight="1" thickTop="1" x14ac:dyDescent="0.25">
      <c r="A43" s="331" t="s">
        <v>367</v>
      </c>
      <c r="B43" s="332">
        <v>6</v>
      </c>
      <c r="C43" s="285"/>
      <c r="D43" s="286"/>
    </row>
    <row r="44" spans="1:7" ht="16.5" customHeight="1" thickBot="1" x14ac:dyDescent="0.3">
      <c r="A44" s="333" t="s">
        <v>368</v>
      </c>
      <c r="B44" s="334">
        <v>94</v>
      </c>
      <c r="C44" s="285"/>
      <c r="D44" s="286"/>
    </row>
    <row r="45" spans="1:7" ht="13.8" thickTop="1" x14ac:dyDescent="0.25">
      <c r="A45" s="285"/>
      <c r="B45" s="286"/>
      <c r="C45" s="285"/>
      <c r="D45" s="286"/>
    </row>
    <row r="46" spans="1:7" x14ac:dyDescent="0.25">
      <c r="A46" s="285"/>
      <c r="B46" s="286"/>
      <c r="C46" s="285"/>
      <c r="D46" s="286"/>
    </row>
    <row r="47" spans="1:7" x14ac:dyDescent="0.25">
      <c r="A47" s="285"/>
      <c r="B47" s="286"/>
      <c r="C47" s="285"/>
      <c r="D47" s="286"/>
    </row>
  </sheetData>
  <sheetProtection password="CC7C" sheet="1"/>
  <phoneticPr fontId="2" type="noConversion"/>
  <pageMargins left="0.75" right="0.75" top="1" bottom="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AA120"/>
  <sheetViews>
    <sheetView topLeftCell="A91" workbookViewId="0">
      <selection activeCell="C48" sqref="C48"/>
    </sheetView>
  </sheetViews>
  <sheetFormatPr defaultRowHeight="13.2" x14ac:dyDescent="0.25"/>
  <cols>
    <col min="1" max="1" width="27.44140625" customWidth="1"/>
    <col min="2" max="11" width="7.77734375" customWidth="1"/>
    <col min="12" max="12" width="6.109375" customWidth="1"/>
    <col min="13" max="13" width="9.21875" customWidth="1"/>
    <col min="14" max="14" width="7.77734375" customWidth="1"/>
  </cols>
  <sheetData>
    <row r="1" spans="1:14" ht="21.6" thickBot="1" x14ac:dyDescent="0.45">
      <c r="A1" s="194" t="s">
        <v>370</v>
      </c>
      <c r="B1" s="195"/>
      <c r="C1" s="195"/>
      <c r="D1" s="195"/>
      <c r="E1" s="196"/>
      <c r="F1" s="195"/>
      <c r="G1" s="195"/>
      <c r="H1" s="197"/>
      <c r="I1" s="198"/>
      <c r="J1" s="199"/>
      <c r="K1" s="474"/>
      <c r="L1" s="199"/>
      <c r="M1" s="199"/>
      <c r="N1" s="200"/>
    </row>
    <row r="2" spans="1:14" ht="13.8" thickTop="1" x14ac:dyDescent="0.25">
      <c r="A2" s="201" t="s">
        <v>8</v>
      </c>
      <c r="B2" s="11"/>
      <c r="C2" s="11"/>
      <c r="D2" s="60"/>
      <c r="E2" s="98"/>
      <c r="F2" s="98"/>
      <c r="G2" s="11"/>
      <c r="H2" s="11"/>
      <c r="I2" s="12"/>
      <c r="J2" s="13" t="s">
        <v>9</v>
      </c>
      <c r="K2" s="14"/>
      <c r="L2" s="11"/>
      <c r="M2" s="11"/>
      <c r="N2" s="202"/>
    </row>
    <row r="3" spans="1:14" x14ac:dyDescent="0.25">
      <c r="A3" s="203" t="s">
        <v>10</v>
      </c>
      <c r="B3" s="16" t="s">
        <v>11</v>
      </c>
      <c r="C3" s="17">
        <v>1.0249999999999999</v>
      </c>
      <c r="D3" s="101"/>
      <c r="E3" s="79"/>
      <c r="F3" s="102"/>
      <c r="G3" s="18" t="s">
        <v>12</v>
      </c>
      <c r="H3" s="18"/>
      <c r="I3" s="18"/>
      <c r="J3" s="70">
        <v>1</v>
      </c>
      <c r="K3" s="23">
        <f>IF(J3=1,IF(C17=1,0.7*C73-0.45+0.08*C13,IF(C16=1,C74,G73)),J3)</f>
        <v>0.25893039851908317</v>
      </c>
      <c r="L3" s="475"/>
      <c r="M3" s="78"/>
      <c r="N3" s="206"/>
    </row>
    <row r="4" spans="1:14" x14ac:dyDescent="0.25">
      <c r="A4" s="203" t="s">
        <v>13</v>
      </c>
      <c r="B4" s="16" t="s">
        <v>14</v>
      </c>
      <c r="C4" s="20">
        <f>'Ship data'!C6</f>
        <v>69.39316773984396</v>
      </c>
      <c r="D4" s="103"/>
      <c r="E4" s="79"/>
      <c r="F4" s="102"/>
      <c r="G4" s="18" t="s">
        <v>15</v>
      </c>
      <c r="H4" s="18"/>
      <c r="I4" s="18"/>
      <c r="J4" s="71">
        <v>1</v>
      </c>
      <c r="K4" s="19">
        <f>IF(J4=1,IF(C17=1,E73-0.26+0.04*C13,IF(C16=1,E74,G74)),J4)</f>
        <v>0.2282923338706685</v>
      </c>
      <c r="L4" s="78"/>
      <c r="M4" s="78"/>
      <c r="N4" s="206"/>
    </row>
    <row r="5" spans="1:14" x14ac:dyDescent="0.25">
      <c r="A5" s="203" t="s">
        <v>16</v>
      </c>
      <c r="B5" s="16" t="s">
        <v>14</v>
      </c>
      <c r="C5" s="20">
        <f>'Ship data'!C7</f>
        <v>12.098035159762397</v>
      </c>
      <c r="D5" s="103"/>
      <c r="E5" s="79"/>
      <c r="F5" s="102"/>
      <c r="G5" s="18" t="s">
        <v>17</v>
      </c>
      <c r="H5" s="18"/>
      <c r="I5" s="18"/>
      <c r="J5" s="193"/>
      <c r="K5" s="19">
        <f>(1-K4)/(1-K3)</f>
        <v>1.0413430325399788</v>
      </c>
      <c r="L5" s="78"/>
      <c r="M5" s="78"/>
      <c r="N5" s="206"/>
    </row>
    <row r="6" spans="1:14" x14ac:dyDescent="0.25">
      <c r="A6" s="203" t="s">
        <v>18</v>
      </c>
      <c r="B6" s="16" t="s">
        <v>14</v>
      </c>
      <c r="C6" s="20">
        <f>'Ship data'!C11</f>
        <v>4.2215265052210178</v>
      </c>
      <c r="D6" s="104"/>
      <c r="E6" s="105"/>
      <c r="F6" s="102"/>
      <c r="G6" s="18" t="s">
        <v>19</v>
      </c>
      <c r="H6" s="18"/>
      <c r="I6" s="18"/>
      <c r="J6" s="193"/>
      <c r="K6" s="19">
        <f>'Ship data'!C49/100</f>
        <v>0.98</v>
      </c>
      <c r="L6" s="78"/>
      <c r="M6" s="78"/>
      <c r="N6" s="206"/>
    </row>
    <row r="7" spans="1:14" x14ac:dyDescent="0.25">
      <c r="A7" s="203" t="s">
        <v>20</v>
      </c>
      <c r="B7" s="16" t="s">
        <v>21</v>
      </c>
      <c r="C7" s="24">
        <f>'Ship data'!C20</f>
        <v>2820.9727921305375</v>
      </c>
      <c r="D7" s="103"/>
      <c r="E7" s="79"/>
      <c r="F7" s="102"/>
      <c r="G7" s="18" t="s">
        <v>22</v>
      </c>
      <c r="H7" s="18"/>
      <c r="I7" s="18"/>
      <c r="J7" s="193"/>
      <c r="K7" s="19">
        <v>1</v>
      </c>
      <c r="L7" s="78"/>
      <c r="M7" s="78"/>
      <c r="N7" s="206"/>
    </row>
    <row r="8" spans="1:14" x14ac:dyDescent="0.25">
      <c r="A8" s="203" t="s">
        <v>23</v>
      </c>
      <c r="B8" s="16" t="s">
        <v>24</v>
      </c>
      <c r="C8" s="24">
        <f>'Ship data'!C33</f>
        <v>1192.1829274703587</v>
      </c>
      <c r="D8" s="103"/>
      <c r="E8" s="79"/>
      <c r="F8" s="102"/>
      <c r="G8" s="27" t="s">
        <v>25</v>
      </c>
      <c r="H8" s="28"/>
      <c r="I8" s="28"/>
      <c r="J8" s="28"/>
      <c r="K8" s="462"/>
      <c r="L8" s="78"/>
      <c r="M8" s="78"/>
      <c r="N8" s="206"/>
    </row>
    <row r="9" spans="1:14" x14ac:dyDescent="0.25">
      <c r="A9" s="203" t="s">
        <v>26</v>
      </c>
      <c r="B9" s="16" t="s">
        <v>24</v>
      </c>
      <c r="C9" s="24">
        <f>IF(C8=0,((C16-1)*0.05+0.99)*(C7/C3/C6+1.9*C4*C6),C8)</f>
        <v>1192.1829274703587</v>
      </c>
      <c r="D9" s="103"/>
      <c r="E9" s="79"/>
      <c r="F9" s="102"/>
      <c r="G9" s="30" t="s">
        <v>27</v>
      </c>
      <c r="H9" s="30"/>
      <c r="I9" s="30"/>
      <c r="J9" s="31">
        <v>0.32</v>
      </c>
      <c r="K9" s="216" t="str">
        <f>IF(J9&gt;0.32,"Too high"," ")</f>
        <v xml:space="preserve"> </v>
      </c>
      <c r="L9" s="78"/>
      <c r="M9" s="78"/>
      <c r="N9" s="206"/>
    </row>
    <row r="10" spans="1:14" x14ac:dyDescent="0.25">
      <c r="A10" s="203" t="s">
        <v>4</v>
      </c>
      <c r="B10" s="16" t="s">
        <v>28</v>
      </c>
      <c r="C10" s="17">
        <f>'Ship data'!C28</f>
        <v>0.9946821399725172</v>
      </c>
      <c r="D10" s="103"/>
      <c r="E10" s="79"/>
      <c r="F10" s="102"/>
      <c r="G10" s="33" t="s">
        <v>29</v>
      </c>
      <c r="H10" s="33"/>
      <c r="I10" s="33"/>
      <c r="J10" s="21">
        <v>1</v>
      </c>
      <c r="K10" s="34" t="str">
        <f>IF(J10&lt;0.9,"Too low"," ")</f>
        <v xml:space="preserve"> </v>
      </c>
      <c r="L10" s="78"/>
      <c r="M10" s="78"/>
      <c r="N10" s="206"/>
    </row>
    <row r="11" spans="1:14" x14ac:dyDescent="0.25">
      <c r="A11" s="203" t="s">
        <v>30</v>
      </c>
      <c r="B11" s="16" t="s">
        <v>28</v>
      </c>
      <c r="C11" s="549">
        <f>C7/C3/C4/C5/C6</f>
        <v>0.77655810396006675</v>
      </c>
      <c r="D11" s="103"/>
      <c r="E11" s="79"/>
      <c r="F11" s="102"/>
      <c r="G11" s="63" t="s">
        <v>124</v>
      </c>
      <c r="H11" s="63"/>
      <c r="I11" s="464"/>
      <c r="J11" s="465"/>
      <c r="K11" s="236">
        <f>'Ship data'!C39</f>
        <v>15</v>
      </c>
      <c r="L11" s="78"/>
      <c r="M11" s="78"/>
      <c r="N11" s="206"/>
    </row>
    <row r="12" spans="1:14" x14ac:dyDescent="0.25">
      <c r="A12" s="203" t="s">
        <v>31</v>
      </c>
      <c r="B12" s="16" t="s">
        <v>28</v>
      </c>
      <c r="C12" s="17">
        <f>C11/C10</f>
        <v>0.7807098094487982</v>
      </c>
      <c r="D12" s="106"/>
      <c r="E12" s="78"/>
      <c r="F12" s="102"/>
      <c r="G12" s="66" t="s">
        <v>125</v>
      </c>
      <c r="H12" s="65"/>
      <c r="I12" s="467"/>
      <c r="J12" s="468"/>
      <c r="K12" s="469">
        <v>15</v>
      </c>
      <c r="L12" s="78"/>
      <c r="M12" s="78"/>
      <c r="N12" s="206"/>
    </row>
    <row r="13" spans="1:14" x14ac:dyDescent="0.25">
      <c r="A13" s="203" t="s">
        <v>32</v>
      </c>
      <c r="B13" s="16" t="s">
        <v>28</v>
      </c>
      <c r="C13" s="20">
        <f>C4/(C7/C3)^(1/3)</f>
        <v>4.9517461101891573</v>
      </c>
      <c r="D13" s="106" t="str">
        <f>IF(OR(C13&lt;4,C13&gt;9)," Warning: Length-displ. ratio out of range !","")</f>
        <v/>
      </c>
      <c r="E13" s="78"/>
      <c r="F13" s="102"/>
      <c r="G13" s="66" t="s">
        <v>126</v>
      </c>
      <c r="H13" s="66"/>
      <c r="I13" s="467"/>
      <c r="J13" s="468"/>
      <c r="K13" s="469">
        <v>1</v>
      </c>
      <c r="L13" s="78"/>
      <c r="M13" s="78"/>
      <c r="N13" s="206"/>
    </row>
    <row r="14" spans="1:14" x14ac:dyDescent="0.25">
      <c r="A14" s="203" t="s">
        <v>33</v>
      </c>
      <c r="B14" s="16" t="s">
        <v>28</v>
      </c>
      <c r="C14" s="36">
        <v>0</v>
      </c>
      <c r="D14" s="106"/>
      <c r="E14" s="78"/>
      <c r="F14" s="102"/>
      <c r="G14" s="66" t="s">
        <v>130</v>
      </c>
      <c r="H14" s="66"/>
      <c r="I14" s="467"/>
      <c r="J14" s="468"/>
      <c r="K14" s="236">
        <f>'Ship data'!C68</f>
        <v>1</v>
      </c>
      <c r="L14" s="574"/>
      <c r="M14" s="575" t="s">
        <v>262</v>
      </c>
      <c r="N14" s="576">
        <f>'Ship data'!C40</f>
        <v>0.85</v>
      </c>
    </row>
    <row r="15" spans="1:14" x14ac:dyDescent="0.25">
      <c r="A15" s="203" t="s">
        <v>34</v>
      </c>
      <c r="B15" s="16" t="s">
        <v>28</v>
      </c>
      <c r="C15" s="36">
        <v>0</v>
      </c>
      <c r="D15" s="207"/>
      <c r="E15" s="208"/>
      <c r="F15" s="79"/>
      <c r="G15" s="406" t="s">
        <v>397</v>
      </c>
      <c r="H15" s="407"/>
      <c r="I15" s="407"/>
      <c r="J15" s="407"/>
      <c r="K15" s="470">
        <f>'Ship data'!C50</f>
        <v>0</v>
      </c>
      <c r="L15" s="574"/>
      <c r="M15" s="577" t="s">
        <v>487</v>
      </c>
      <c r="N15" s="578">
        <f>'Ship data'!C42</f>
        <v>160.86052752684637</v>
      </c>
    </row>
    <row r="16" spans="1:14" x14ac:dyDescent="0.25">
      <c r="A16" s="203" t="s">
        <v>35</v>
      </c>
      <c r="B16" s="16" t="s">
        <v>28</v>
      </c>
      <c r="C16" s="26">
        <v>1</v>
      </c>
      <c r="D16" s="209" t="str">
        <f>IF(OR(C4/C5&lt;3.5,C4/C5&gt;10)," Warning: L/B out of range !","")</f>
        <v/>
      </c>
      <c r="E16" s="79"/>
      <c r="F16" s="79"/>
      <c r="G16" s="79"/>
      <c r="H16" s="79"/>
      <c r="I16" s="471"/>
      <c r="J16" s="472"/>
      <c r="K16" s="208"/>
      <c r="L16" s="579" t="s">
        <v>488</v>
      </c>
      <c r="M16" s="580"/>
      <c r="N16" s="581">
        <f>'Ship data'!C43</f>
        <v>0</v>
      </c>
    </row>
    <row r="17" spans="1:27" x14ac:dyDescent="0.25">
      <c r="A17" s="203" t="s">
        <v>36</v>
      </c>
      <c r="B17" s="16" t="s">
        <v>28</v>
      </c>
      <c r="C17" s="26">
        <v>1</v>
      </c>
      <c r="D17" s="209" t="str">
        <f>IF(C5/C6&gt;6.5,"  Warning: B/T out of range !","")</f>
        <v/>
      </c>
      <c r="E17" s="79"/>
      <c r="F17" s="79"/>
      <c r="G17" s="79"/>
      <c r="H17" s="587"/>
      <c r="I17" s="588" t="s">
        <v>167</v>
      </c>
      <c r="J17" s="589">
        <f>'Ship data'!C35</f>
        <v>13.172490532473214</v>
      </c>
      <c r="K17" s="208"/>
      <c r="L17" s="582" t="s">
        <v>261</v>
      </c>
      <c r="M17" s="583"/>
      <c r="N17" s="584">
        <f>IF(N16=0,0,MAX(0,0.18+0.464*N16+0.4034113*N16^2-0.0285278*N16^3+0.00097424*N16^4))</f>
        <v>0</v>
      </c>
    </row>
    <row r="18" spans="1:27" x14ac:dyDescent="0.25">
      <c r="A18" s="203" t="s">
        <v>37</v>
      </c>
      <c r="B18" s="16" t="s">
        <v>14</v>
      </c>
      <c r="C18" s="20">
        <f>'Ship data'!C70</f>
        <v>3.0735094775088392</v>
      </c>
      <c r="D18" s="590">
        <f>C18/C6</f>
        <v>0.72805642075387744</v>
      </c>
      <c r="E18" s="591" t="s">
        <v>163</v>
      </c>
      <c r="F18" s="79"/>
      <c r="G18" s="78"/>
      <c r="H18" s="78"/>
      <c r="I18" s="78"/>
      <c r="J18" s="78"/>
      <c r="K18" s="78"/>
      <c r="L18" s="582" t="s">
        <v>489</v>
      </c>
      <c r="M18" s="585"/>
      <c r="N18" s="586">
        <f>MAX(0,0.01666667*N16^3-0.23571429*N16^2+1.8333*N16-3.6)</f>
        <v>0</v>
      </c>
    </row>
    <row r="19" spans="1:27" ht="13.8" thickBot="1" x14ac:dyDescent="0.3">
      <c r="A19" s="210" t="s">
        <v>38</v>
      </c>
      <c r="B19" s="37" t="s">
        <v>28</v>
      </c>
      <c r="C19" s="24">
        <v>4</v>
      </c>
      <c r="D19" s="78"/>
      <c r="E19" s="208"/>
      <c r="F19" s="79"/>
      <c r="G19" s="394" t="s">
        <v>385</v>
      </c>
      <c r="H19" s="395"/>
      <c r="I19" s="395"/>
      <c r="J19" s="476"/>
      <c r="K19" s="477">
        <v>-0.1</v>
      </c>
      <c r="L19" s="78"/>
      <c r="M19" s="78"/>
      <c r="N19" s="206"/>
    </row>
    <row r="20" spans="1:27" ht="14.4" thickTop="1" thickBot="1" x14ac:dyDescent="0.3">
      <c r="A20" s="201" t="s">
        <v>39</v>
      </c>
      <c r="B20" s="38"/>
      <c r="C20" s="11"/>
      <c r="D20" s="11"/>
      <c r="E20" s="11"/>
      <c r="F20" s="11"/>
      <c r="G20" s="11"/>
      <c r="H20" s="11"/>
      <c r="I20" s="11"/>
      <c r="J20" s="11"/>
      <c r="K20" s="11"/>
      <c r="L20" s="11"/>
      <c r="M20" s="11"/>
      <c r="N20" s="202"/>
    </row>
    <row r="21" spans="1:27" x14ac:dyDescent="0.25">
      <c r="A21" s="211" t="s">
        <v>40</v>
      </c>
      <c r="B21" s="55" t="s">
        <v>41</v>
      </c>
      <c r="C21" s="611">
        <f>(C22*(9.81*C4)^0.5)/0.5144</f>
        <v>6.0865773619557171</v>
      </c>
      <c r="D21" s="250">
        <f t="shared" ref="D21:J21" si="0">E21-0.5</f>
        <v>9.6724905324732138</v>
      </c>
      <c r="E21" s="250">
        <f t="shared" si="0"/>
        <v>10.172490532473214</v>
      </c>
      <c r="F21" s="250">
        <f t="shared" si="0"/>
        <v>10.672490532473214</v>
      </c>
      <c r="G21" s="250">
        <f t="shared" si="0"/>
        <v>11.172490532473214</v>
      </c>
      <c r="H21" s="250">
        <f t="shared" si="0"/>
        <v>11.672490532473214</v>
      </c>
      <c r="I21" s="250">
        <f t="shared" si="0"/>
        <v>12.172490532473214</v>
      </c>
      <c r="J21" s="250">
        <f t="shared" si="0"/>
        <v>12.672490532473214</v>
      </c>
      <c r="K21" s="603">
        <f>J17</f>
        <v>13.172490532473214</v>
      </c>
      <c r="L21" s="250">
        <f>K21+0.5</f>
        <v>13.672490532473214</v>
      </c>
      <c r="M21" s="250">
        <f>L21+0.5</f>
        <v>14.172490532473214</v>
      </c>
      <c r="N21" s="251">
        <f>N22*SQRT(9.81*C4)/0.5144</f>
        <v>16.230872965215244</v>
      </c>
    </row>
    <row r="22" spans="1:27" x14ac:dyDescent="0.25">
      <c r="A22" s="203" t="s">
        <v>42</v>
      </c>
      <c r="B22" s="354" t="s">
        <v>28</v>
      </c>
      <c r="C22" s="612">
        <v>0.12</v>
      </c>
      <c r="D22" s="19">
        <f t="shared" ref="D22:M22" si="1">D21*0.5144/SQRT(9.81*$C4)</f>
        <v>0.19069812061401845</v>
      </c>
      <c r="E22" s="19">
        <f t="shared" si="1"/>
        <v>0.200555877516121</v>
      </c>
      <c r="F22" s="19">
        <f t="shared" si="1"/>
        <v>0.21041363441822353</v>
      </c>
      <c r="G22" s="19">
        <f t="shared" si="1"/>
        <v>0.22027139132032608</v>
      </c>
      <c r="H22" s="19">
        <f t="shared" si="1"/>
        <v>0.23012914822242861</v>
      </c>
      <c r="I22" s="19">
        <f t="shared" si="1"/>
        <v>0.23998690512453114</v>
      </c>
      <c r="J22" s="345">
        <f t="shared" si="1"/>
        <v>0.24984466202663369</v>
      </c>
      <c r="K22" s="604">
        <f t="shared" si="1"/>
        <v>0.25970241892873619</v>
      </c>
      <c r="L22" s="348">
        <f t="shared" si="1"/>
        <v>0.26956017583083874</v>
      </c>
      <c r="M22" s="19">
        <f t="shared" si="1"/>
        <v>0.27941793273294124</v>
      </c>
      <c r="N22" s="237">
        <f>J9</f>
        <v>0.32</v>
      </c>
    </row>
    <row r="23" spans="1:27" x14ac:dyDescent="0.25">
      <c r="A23" s="203" t="s">
        <v>43</v>
      </c>
      <c r="B23" s="354" t="s">
        <v>28</v>
      </c>
      <c r="C23" s="612">
        <f t="shared" ref="C23:N23" si="2">75/(LOG10(C21*0.5144*$C4*1000000/((43.4233-31.38*$C3)*($K12+20)^(1.72*$C3-2.202)+4.7478-5.779*$C3))-2)^2</f>
        <v>1.9126129181791665</v>
      </c>
      <c r="D23" s="19">
        <f t="shared" si="2"/>
        <v>1.7954071605312594</v>
      </c>
      <c r="E23" s="19">
        <f t="shared" si="2"/>
        <v>1.7833076597966899</v>
      </c>
      <c r="F23" s="19">
        <f t="shared" si="2"/>
        <v>1.771902127866017</v>
      </c>
      <c r="G23" s="19">
        <f t="shared" si="2"/>
        <v>1.7611206080054687</v>
      </c>
      <c r="H23" s="19">
        <f t="shared" si="2"/>
        <v>1.7509029567807526</v>
      </c>
      <c r="I23" s="19">
        <f t="shared" si="2"/>
        <v>1.7411971132131978</v>
      </c>
      <c r="J23" s="345">
        <f t="shared" si="2"/>
        <v>1.7319577306290406</v>
      </c>
      <c r="K23" s="598">
        <f t="shared" si="2"/>
        <v>1.7231450841053335</v>
      </c>
      <c r="L23" s="348">
        <f t="shared" si="2"/>
        <v>1.714724189796593</v>
      </c>
      <c r="M23" s="19">
        <f t="shared" si="2"/>
        <v>1.7066640889162894</v>
      </c>
      <c r="N23" s="238">
        <f t="shared" si="2"/>
        <v>1.6767381901925182</v>
      </c>
    </row>
    <row r="24" spans="1:27" x14ac:dyDescent="0.25">
      <c r="A24" s="203" t="s">
        <v>44</v>
      </c>
      <c r="B24" s="354" t="s">
        <v>28</v>
      </c>
      <c r="C24" s="612">
        <f t="shared" ref="C24:M24" si="3">IF(C22&gt;0.12,C48,$C48+(C22-0.12)*2.5)</f>
        <v>0.6712373947960526</v>
      </c>
      <c r="D24" s="19">
        <f t="shared" si="3"/>
        <v>1.2368544009890621</v>
      </c>
      <c r="E24" s="19">
        <f t="shared" si="3"/>
        <v>1.3975738006717082</v>
      </c>
      <c r="F24" s="19">
        <f t="shared" si="3"/>
        <v>1.5919850195247027</v>
      </c>
      <c r="G24" s="19">
        <f t="shared" si="3"/>
        <v>1.8383614782841449</v>
      </c>
      <c r="H24" s="19">
        <f t="shared" si="3"/>
        <v>2.1678933327459027</v>
      </c>
      <c r="I24" s="19">
        <f t="shared" si="3"/>
        <v>2.629564877224785</v>
      </c>
      <c r="J24" s="345">
        <f t="shared" si="3"/>
        <v>3.2957842967730526</v>
      </c>
      <c r="K24" s="598">
        <f t="shared" si="3"/>
        <v>4.2687657681494695</v>
      </c>
      <c r="L24" s="348">
        <f t="shared" si="3"/>
        <v>5.687663909535396</v>
      </c>
      <c r="M24" s="19">
        <f t="shared" si="3"/>
        <v>7.7364605790086109</v>
      </c>
      <c r="N24" s="237">
        <f>N64+N65+N117</f>
        <v>29.028831316493815</v>
      </c>
    </row>
    <row r="25" spans="1:27" x14ac:dyDescent="0.25">
      <c r="A25" s="203" t="s">
        <v>45</v>
      </c>
      <c r="B25" s="354" t="s">
        <v>28</v>
      </c>
      <c r="C25" s="612">
        <f t="shared" ref="C25:N25" si="4">IF($C17=1,0,0.3)</f>
        <v>0</v>
      </c>
      <c r="D25" s="19">
        <f t="shared" si="4"/>
        <v>0</v>
      </c>
      <c r="E25" s="19">
        <f t="shared" si="4"/>
        <v>0</v>
      </c>
      <c r="F25" s="19">
        <f t="shared" si="4"/>
        <v>0</v>
      </c>
      <c r="G25" s="19">
        <f t="shared" si="4"/>
        <v>0</v>
      </c>
      <c r="H25" s="19">
        <f t="shared" si="4"/>
        <v>0</v>
      </c>
      <c r="I25" s="19">
        <f t="shared" si="4"/>
        <v>0</v>
      </c>
      <c r="J25" s="345">
        <f t="shared" si="4"/>
        <v>0</v>
      </c>
      <c r="K25" s="598">
        <f t="shared" si="4"/>
        <v>0</v>
      </c>
      <c r="L25" s="348">
        <f t="shared" si="4"/>
        <v>0</v>
      </c>
      <c r="M25" s="19">
        <f t="shared" si="4"/>
        <v>0</v>
      </c>
      <c r="N25" s="238">
        <f t="shared" si="4"/>
        <v>0</v>
      </c>
    </row>
    <row r="26" spans="1:27" x14ac:dyDescent="0.25">
      <c r="A26" s="203" t="s">
        <v>46</v>
      </c>
      <c r="B26" s="354" t="s">
        <v>28</v>
      </c>
      <c r="C26" s="612">
        <f t="shared" ref="C26:N26" si="5">$K13*MAX(-0.4,-0.1-1.6*C22)</f>
        <v>-0.29200000000000004</v>
      </c>
      <c r="D26" s="239">
        <f t="shared" si="5"/>
        <v>-0.4</v>
      </c>
      <c r="E26" s="239">
        <f t="shared" si="5"/>
        <v>-0.4</v>
      </c>
      <c r="F26" s="239">
        <f t="shared" si="5"/>
        <v>-0.4</v>
      </c>
      <c r="G26" s="239">
        <f t="shared" si="5"/>
        <v>-0.4</v>
      </c>
      <c r="H26" s="239">
        <f t="shared" si="5"/>
        <v>-0.4</v>
      </c>
      <c r="I26" s="239">
        <f t="shared" si="5"/>
        <v>-0.4</v>
      </c>
      <c r="J26" s="346">
        <f t="shared" si="5"/>
        <v>-0.4</v>
      </c>
      <c r="K26" s="598">
        <f t="shared" si="5"/>
        <v>-0.4</v>
      </c>
      <c r="L26" s="267">
        <f t="shared" si="5"/>
        <v>-0.4</v>
      </c>
      <c r="M26" s="239">
        <f t="shared" si="5"/>
        <v>-0.4</v>
      </c>
      <c r="N26" s="240">
        <f t="shared" si="5"/>
        <v>-0.4</v>
      </c>
    </row>
    <row r="27" spans="1:27" x14ac:dyDescent="0.25">
      <c r="A27" s="203" t="s">
        <v>47</v>
      </c>
      <c r="B27" s="354" t="s">
        <v>28</v>
      </c>
      <c r="C27" s="612">
        <f>IF('Ship data'!$C3&lt;55000,0.07,IF('Ship data'!$C3&lt;170000,0.05,0.04))</f>
        <v>7.0000000000000007E-2</v>
      </c>
      <c r="D27" s="239">
        <f>IF('Ship data'!$C3&lt;55000,0.07,IF('Ship data'!$C3&lt;170000,0.05,0.04))</f>
        <v>7.0000000000000007E-2</v>
      </c>
      <c r="E27" s="239">
        <f>IF('Ship data'!$C3&lt;55000,0.07,IF('Ship data'!$C3&lt;170000,0.05,0.04))</f>
        <v>7.0000000000000007E-2</v>
      </c>
      <c r="F27" s="239">
        <f>IF('Ship data'!$C3&lt;55000,0.07,IF('Ship data'!$C3&lt;170000,0.05,0.04))</f>
        <v>7.0000000000000007E-2</v>
      </c>
      <c r="G27" s="239">
        <f>IF('Ship data'!$C3&lt;55000,0.07,IF('Ship data'!$C3&lt;170000,0.05,0.04))</f>
        <v>7.0000000000000007E-2</v>
      </c>
      <c r="H27" s="239">
        <f>IF('Ship data'!$C3&lt;55000,0.07,IF('Ship data'!$C3&lt;170000,0.05,0.04))</f>
        <v>7.0000000000000007E-2</v>
      </c>
      <c r="I27" s="239">
        <f>IF('Ship data'!$C3&lt;55000,0.07,IF('Ship data'!$C3&lt;170000,0.05,0.04))</f>
        <v>7.0000000000000007E-2</v>
      </c>
      <c r="J27" s="346">
        <f>IF('Ship data'!$C3&lt;55000,0.07,IF('Ship data'!$C3&lt;170000,0.05,0.04))</f>
        <v>7.0000000000000007E-2</v>
      </c>
      <c r="K27" s="598">
        <f>IF('Ship data'!$C3&lt;55000,0.07,IF('Ship data'!$C3&lt;170000,0.05,0.04))</f>
        <v>7.0000000000000007E-2</v>
      </c>
      <c r="L27" s="267">
        <f>IF('Ship data'!$C3&lt;55000,0.07,IF('Ship data'!$C3&lt;170000,0.05,0.04))</f>
        <v>7.0000000000000007E-2</v>
      </c>
      <c r="M27" s="239">
        <f>IF('Ship data'!$C3&lt;55000,0.07,IF('Ship data'!$C3&lt;170000,0.05,0.04))</f>
        <v>7.0000000000000007E-2</v>
      </c>
      <c r="N27" s="240">
        <f>IF('Ship data'!$C3&lt;55000,0.07,IF('Ship data'!$C3&lt;170000,0.05,0.04))</f>
        <v>7.0000000000000007E-2</v>
      </c>
    </row>
    <row r="28" spans="1:27" x14ac:dyDescent="0.25">
      <c r="A28" s="203" t="s">
        <v>48</v>
      </c>
      <c r="B28" s="354" t="s">
        <v>28</v>
      </c>
      <c r="C28" s="612">
        <f>MAX(0.5*LOG10($C7)-0.1*(LOG10($C7))^2,'PS1'!$K19)</f>
        <v>0.53467419356899204</v>
      </c>
      <c r="D28" s="239">
        <f>MAX(0.5*LOG10($C7)-0.1*(LOG10($C7))^2,'PS1'!$K19)</f>
        <v>0.53467419356899204</v>
      </c>
      <c r="E28" s="239">
        <f>MAX(0.5*LOG10($C7)-0.1*(LOG10($C7))^2,'PS1'!$K19)</f>
        <v>0.53467419356899204</v>
      </c>
      <c r="F28" s="239">
        <f>MAX(0.5*LOG10($C7)-0.1*(LOG10($C7))^2,'PS1'!$K19)</f>
        <v>0.53467419356899204</v>
      </c>
      <c r="G28" s="239">
        <f>MAX(0.5*LOG10($C7)-0.1*(LOG10($C7))^2,'PS1'!$K19)</f>
        <v>0.53467419356899204</v>
      </c>
      <c r="H28" s="239">
        <f>MAX(0.5*LOG10($C7)-0.1*(LOG10($C7))^2,'PS1'!$K19)</f>
        <v>0.53467419356899204</v>
      </c>
      <c r="I28" s="239">
        <f>MAX(0.5*LOG10($C7)-0.1*(LOG10($C7))^2,'PS1'!$K19)</f>
        <v>0.53467419356899204</v>
      </c>
      <c r="J28" s="239">
        <f>MAX(0.5*LOG10($C7)-0.1*(LOG10($C7))^2,'PS1'!$K19)</f>
        <v>0.53467419356899204</v>
      </c>
      <c r="K28" s="598">
        <f>MAX(0.5*LOG10($C7)-0.1*(LOG10($C7))^2,'PS1'!$K19)</f>
        <v>0.53467419356899204</v>
      </c>
      <c r="L28" s="239">
        <f>MAX(0.5*LOG10($C7)-0.1*(LOG10($C7))^2,'PS1'!$K19)</f>
        <v>0.53467419356899204</v>
      </c>
      <c r="M28" s="239">
        <f>MAX(0.5*LOG10($C7)-0.1*(LOG10($C7))^2,'PS1'!$K19)</f>
        <v>0.53467419356899204</v>
      </c>
      <c r="N28" s="240">
        <f>MAX(0.5*LOG10($C7)-0.1*(LOG10($C7))^2,'PS1'!$K19)</f>
        <v>0.53467419356899204</v>
      </c>
    </row>
    <row r="29" spans="1:27" x14ac:dyDescent="0.25">
      <c r="A29" s="203" t="s">
        <v>49</v>
      </c>
      <c r="B29" s="354" t="s">
        <v>28</v>
      </c>
      <c r="C29" s="612">
        <f t="shared" ref="C29:N29" si="6">C23+C24+C25+C26+C27+C28</f>
        <v>2.8965245065442113</v>
      </c>
      <c r="D29" s="239">
        <f t="shared" si="6"/>
        <v>3.2369357550893136</v>
      </c>
      <c r="E29" s="239">
        <f t="shared" si="6"/>
        <v>3.3855556540373897</v>
      </c>
      <c r="F29" s="239">
        <f t="shared" si="6"/>
        <v>3.5685613409597119</v>
      </c>
      <c r="G29" s="239">
        <f t="shared" si="6"/>
        <v>3.8041562798586055</v>
      </c>
      <c r="H29" s="239">
        <f t="shared" si="6"/>
        <v>4.1234704830956472</v>
      </c>
      <c r="I29" s="239">
        <f t="shared" si="6"/>
        <v>4.5754361840069748</v>
      </c>
      <c r="J29" s="346">
        <f t="shared" si="6"/>
        <v>5.2324162209710847</v>
      </c>
      <c r="K29" s="598">
        <f t="shared" si="6"/>
        <v>6.1965850458237943</v>
      </c>
      <c r="L29" s="267">
        <f t="shared" si="6"/>
        <v>7.6070622929009808</v>
      </c>
      <c r="M29" s="239">
        <f t="shared" si="6"/>
        <v>9.647798861493893</v>
      </c>
      <c r="N29" s="260">
        <f t="shared" si="6"/>
        <v>30.910243700255329</v>
      </c>
      <c r="Q29" s="361"/>
      <c r="R29" s="361"/>
      <c r="S29" s="361"/>
      <c r="T29" s="361"/>
      <c r="U29" s="361"/>
      <c r="V29" s="361"/>
      <c r="W29" s="361"/>
      <c r="X29" s="361"/>
      <c r="Y29" s="361"/>
      <c r="Z29" s="361"/>
      <c r="AA29" s="361"/>
    </row>
    <row r="30" spans="1:27" x14ac:dyDescent="0.25">
      <c r="A30" s="203" t="s">
        <v>50</v>
      </c>
      <c r="B30" s="354" t="s">
        <v>51</v>
      </c>
      <c r="C30" s="613">
        <f t="shared" ref="C30:N30" si="7">$K11</f>
        <v>15</v>
      </c>
      <c r="D30" s="261">
        <f t="shared" si="7"/>
        <v>15</v>
      </c>
      <c r="E30" s="261">
        <f t="shared" si="7"/>
        <v>15</v>
      </c>
      <c r="F30" s="261">
        <f t="shared" si="7"/>
        <v>15</v>
      </c>
      <c r="G30" s="261">
        <f t="shared" si="7"/>
        <v>15</v>
      </c>
      <c r="H30" s="261">
        <f t="shared" si="7"/>
        <v>15</v>
      </c>
      <c r="I30" s="261">
        <f t="shared" si="7"/>
        <v>15</v>
      </c>
      <c r="J30" s="347">
        <f t="shared" si="7"/>
        <v>15</v>
      </c>
      <c r="K30" s="599">
        <f t="shared" si="7"/>
        <v>15</v>
      </c>
      <c r="L30" s="349">
        <f t="shared" si="7"/>
        <v>15</v>
      </c>
      <c r="M30" s="261">
        <f t="shared" si="7"/>
        <v>15</v>
      </c>
      <c r="N30" s="243">
        <f t="shared" si="7"/>
        <v>15</v>
      </c>
      <c r="O30" s="361"/>
      <c r="P30" s="361"/>
      <c r="Q30" s="361"/>
      <c r="R30" s="361"/>
      <c r="S30" s="361"/>
      <c r="T30" s="361"/>
      <c r="U30" s="361"/>
      <c r="V30" s="361"/>
      <c r="W30" s="361"/>
      <c r="X30" s="361"/>
      <c r="Y30" s="361"/>
      <c r="Z30" s="361"/>
      <c r="AA30" s="361"/>
    </row>
    <row r="31" spans="1:27" x14ac:dyDescent="0.25">
      <c r="A31" s="562" t="s">
        <v>263</v>
      </c>
      <c r="B31" s="563" t="s">
        <v>53</v>
      </c>
      <c r="C31" s="566">
        <f t="shared" ref="C31:M31" si="8">0.00062*$N15*$N14*((C21*0.5144+$N17)^2-(C21*0.5144)^2)</f>
        <v>0</v>
      </c>
      <c r="D31" s="565">
        <f t="shared" si="8"/>
        <v>0</v>
      </c>
      <c r="E31" s="565">
        <f t="shared" si="8"/>
        <v>0</v>
      </c>
      <c r="F31" s="565">
        <f t="shared" si="8"/>
        <v>0</v>
      </c>
      <c r="G31" s="565">
        <f t="shared" si="8"/>
        <v>0</v>
      </c>
      <c r="H31" s="565">
        <f t="shared" si="8"/>
        <v>0</v>
      </c>
      <c r="I31" s="565">
        <f t="shared" si="8"/>
        <v>0</v>
      </c>
      <c r="J31" s="565">
        <f t="shared" si="8"/>
        <v>0</v>
      </c>
      <c r="K31" s="565">
        <f t="shared" si="8"/>
        <v>0</v>
      </c>
      <c r="L31" s="565">
        <f t="shared" si="8"/>
        <v>0</v>
      </c>
      <c r="M31" s="565">
        <f t="shared" si="8"/>
        <v>0</v>
      </c>
      <c r="N31" s="605"/>
      <c r="O31" s="361"/>
      <c r="P31" s="361"/>
      <c r="Q31" s="361"/>
      <c r="R31" s="361"/>
      <c r="S31" s="361"/>
      <c r="T31" s="361"/>
      <c r="U31" s="361"/>
      <c r="V31" s="361"/>
      <c r="W31" s="361"/>
      <c r="X31" s="361"/>
      <c r="Y31" s="361"/>
      <c r="Z31" s="361"/>
      <c r="AA31" s="361"/>
    </row>
    <row r="32" spans="1:27" x14ac:dyDescent="0.25">
      <c r="A32" s="562" t="s">
        <v>485</v>
      </c>
      <c r="B32" s="563" t="s">
        <v>53</v>
      </c>
      <c r="C32" s="566">
        <f t="shared" ref="C32:J32" si="9">1336*(5.3+C21*0.5144)*($C5*$C6/$C4*1.02)^0.75*$N18^2/1000</f>
        <v>0</v>
      </c>
      <c r="D32" s="565">
        <f t="shared" si="9"/>
        <v>0</v>
      </c>
      <c r="E32" s="565">
        <f t="shared" si="9"/>
        <v>0</v>
      </c>
      <c r="F32" s="565">
        <f t="shared" si="9"/>
        <v>0</v>
      </c>
      <c r="G32" s="565">
        <f t="shared" si="9"/>
        <v>0</v>
      </c>
      <c r="H32" s="565">
        <f t="shared" si="9"/>
        <v>0</v>
      </c>
      <c r="I32" s="565">
        <f t="shared" si="9"/>
        <v>0</v>
      </c>
      <c r="J32" s="565">
        <f t="shared" si="9"/>
        <v>0</v>
      </c>
      <c r="K32" s="565">
        <f>1336*(5.3+K21*0.5144)*($C5*$C6/$C4*1.02)^0.75*$N18^2/1000</f>
        <v>0</v>
      </c>
      <c r="L32" s="565">
        <f>1336*(5.3+L21*0.5144)*($C5*$C6/$C4*1.02)^0.75*$N18^2/1000</f>
        <v>0</v>
      </c>
      <c r="M32" s="565">
        <f>1336*(5.3+M21*0.5144)*($C5*$C6/$C4*1.02)^0.75*$N18^2/1000</f>
        <v>0</v>
      </c>
      <c r="N32" s="606"/>
      <c r="P32" s="362"/>
      <c r="Q32" s="362"/>
      <c r="R32" s="362"/>
      <c r="S32" s="362"/>
      <c r="T32" s="362"/>
      <c r="U32" s="362"/>
      <c r="V32" s="362"/>
      <c r="W32" s="362"/>
      <c r="X32" s="362"/>
      <c r="Y32" s="362"/>
      <c r="Z32" s="362"/>
      <c r="AA32" s="361"/>
    </row>
    <row r="33" spans="1:14" x14ac:dyDescent="0.25">
      <c r="A33" s="562" t="s">
        <v>486</v>
      </c>
      <c r="B33" s="563" t="s">
        <v>53</v>
      </c>
      <c r="C33" s="566">
        <f>C31+C32</f>
        <v>0</v>
      </c>
      <c r="D33" s="565">
        <f t="shared" ref="D33:M33" si="10">D31+D32</f>
        <v>0</v>
      </c>
      <c r="E33" s="565">
        <f t="shared" si="10"/>
        <v>0</v>
      </c>
      <c r="F33" s="565">
        <f t="shared" si="10"/>
        <v>0</v>
      </c>
      <c r="G33" s="565">
        <f t="shared" si="10"/>
        <v>0</v>
      </c>
      <c r="H33" s="565">
        <f t="shared" si="10"/>
        <v>0</v>
      </c>
      <c r="I33" s="565">
        <f t="shared" si="10"/>
        <v>0</v>
      </c>
      <c r="J33" s="565">
        <f t="shared" si="10"/>
        <v>0</v>
      </c>
      <c r="K33" s="565">
        <f t="shared" si="10"/>
        <v>0</v>
      </c>
      <c r="L33" s="565">
        <f t="shared" si="10"/>
        <v>0</v>
      </c>
      <c r="M33" s="565">
        <f t="shared" si="10"/>
        <v>0</v>
      </c>
      <c r="N33" s="605"/>
    </row>
    <row r="34" spans="1:14" x14ac:dyDescent="0.25">
      <c r="A34" s="562" t="s">
        <v>486</v>
      </c>
      <c r="B34" s="563" t="s">
        <v>51</v>
      </c>
      <c r="C34" s="567">
        <f>C33*100/(C35-C33)</f>
        <v>0</v>
      </c>
      <c r="D34" s="568">
        <f t="shared" ref="D34:M34" si="11">D33*100/(D35-D33)</f>
        <v>0</v>
      </c>
      <c r="E34" s="568">
        <f t="shared" si="11"/>
        <v>0</v>
      </c>
      <c r="F34" s="568">
        <f t="shared" si="11"/>
        <v>0</v>
      </c>
      <c r="G34" s="568">
        <f t="shared" si="11"/>
        <v>0</v>
      </c>
      <c r="H34" s="568">
        <f t="shared" si="11"/>
        <v>0</v>
      </c>
      <c r="I34" s="568">
        <f t="shared" si="11"/>
        <v>0</v>
      </c>
      <c r="J34" s="568">
        <f t="shared" si="11"/>
        <v>0</v>
      </c>
      <c r="K34" s="568">
        <f t="shared" si="11"/>
        <v>0</v>
      </c>
      <c r="L34" s="568">
        <f t="shared" si="11"/>
        <v>0</v>
      </c>
      <c r="M34" s="568">
        <f t="shared" si="11"/>
        <v>0</v>
      </c>
      <c r="N34" s="607"/>
    </row>
    <row r="35" spans="1:14" x14ac:dyDescent="0.25">
      <c r="A35" s="569" t="s">
        <v>301</v>
      </c>
      <c r="B35" s="570" t="s">
        <v>53</v>
      </c>
      <c r="C35" s="571">
        <f>$C9*$C3*C29*C21^2*0.0001323*(1+C30/100)+C33</f>
        <v>19.950231899173101</v>
      </c>
      <c r="D35" s="597">
        <f t="shared" ref="D35:J35" si="12">$C9*$C3*D29*D21^2*0.0001323*(1+D30/100)+D33</f>
        <v>56.303469128857181</v>
      </c>
      <c r="E35" s="597">
        <f t="shared" si="12"/>
        <v>65.134186638746186</v>
      </c>
      <c r="F35" s="597">
        <f t="shared" si="12"/>
        <v>75.569956285573824</v>
      </c>
      <c r="G35" s="597">
        <f t="shared" si="12"/>
        <v>88.284159936297968</v>
      </c>
      <c r="H35" s="597">
        <f t="shared" si="12"/>
        <v>104.45143214412168</v>
      </c>
      <c r="I35" s="597">
        <f t="shared" si="12"/>
        <v>126.04216125985948</v>
      </c>
      <c r="J35" s="597">
        <f t="shared" si="12"/>
        <v>156.2250536278826</v>
      </c>
      <c r="K35" s="597">
        <f>$C9*$C3*K29*K21^2*0.0001323*(1+K30/100)+K33</f>
        <v>199.89993505015954</v>
      </c>
      <c r="L35" s="572">
        <f>$C9*$C3*L29*L21^2*0.0001323*(1+L30/100)+L33</f>
        <v>264.38492198580548</v>
      </c>
      <c r="M35" s="572">
        <f>$C9*$C3*M29*M21^2*0.0001323*(1+M30/100)+M33</f>
        <v>360.28405323376137</v>
      </c>
      <c r="N35" s="607"/>
    </row>
    <row r="36" spans="1:14" x14ac:dyDescent="0.25">
      <c r="A36" s="203" t="s">
        <v>55</v>
      </c>
      <c r="B36" s="354" t="s">
        <v>56</v>
      </c>
      <c r="C36" s="613">
        <f>C35*C21*0.5144</f>
        <v>62.462887191380041</v>
      </c>
      <c r="D36" s="592">
        <f t="shared" ref="D36:J36" si="13">D35*D21*0.5144</f>
        <v>280.13955076529192</v>
      </c>
      <c r="E36" s="592">
        <f t="shared" si="13"/>
        <v>340.82955577718548</v>
      </c>
      <c r="F36" s="592">
        <f t="shared" si="13"/>
        <v>414.87370435776029</v>
      </c>
      <c r="G36" s="592">
        <f t="shared" si="13"/>
        <v>507.38046727902116</v>
      </c>
      <c r="H36" s="592">
        <f t="shared" si="13"/>
        <v>627.16077668316393</v>
      </c>
      <c r="I36" s="592">
        <f t="shared" si="13"/>
        <v>789.21666432469544</v>
      </c>
      <c r="J36" s="592">
        <f t="shared" si="13"/>
        <v>1018.3888079049274</v>
      </c>
      <c r="K36" s="592">
        <f>K35*K21*0.5144</f>
        <v>1354.5077929723377</v>
      </c>
      <c r="L36" s="592">
        <f>L35*L21*0.5144</f>
        <v>1859.4532963258234</v>
      </c>
      <c r="M36" s="592">
        <f>M35*M21*0.5144</f>
        <v>2626.5893283300534</v>
      </c>
      <c r="N36" s="607"/>
    </row>
    <row r="37" spans="1:14" x14ac:dyDescent="0.25">
      <c r="A37" s="203" t="s">
        <v>57</v>
      </c>
      <c r="B37" s="354" t="s">
        <v>28</v>
      </c>
      <c r="C37" s="612">
        <f>$K5*$K6*$K7*C41</f>
        <v>0.6457486573183</v>
      </c>
      <c r="D37" s="593">
        <f t="shared" ref="D37:J37" si="14">$K5*$K6*$K7*D41</f>
        <v>0.63180660148170786</v>
      </c>
      <c r="E37" s="593">
        <f t="shared" si="14"/>
        <v>0.62599880293845267</v>
      </c>
      <c r="F37" s="593">
        <f t="shared" si="14"/>
        <v>0.61906244111324837</v>
      </c>
      <c r="G37" s="593">
        <f t="shared" si="14"/>
        <v>0.61046060430269056</v>
      </c>
      <c r="H37" s="593">
        <f t="shared" si="14"/>
        <v>0.5993451741682666</v>
      </c>
      <c r="I37" s="593">
        <f t="shared" si="14"/>
        <v>0.58457353876833373</v>
      </c>
      <c r="J37" s="593">
        <f t="shared" si="14"/>
        <v>0.56484695113372951</v>
      </c>
      <c r="K37" s="593">
        <f>$K5*$K6*$K7*K41</f>
        <v>0.53899871525292165</v>
      </c>
      <c r="L37" s="593">
        <f>$K5*$K6*$K7*L41</f>
        <v>0.50637449881571051</v>
      </c>
      <c r="M37" s="593">
        <f>$K5*$K6*$K7*M41</f>
        <v>0.46713422231195467</v>
      </c>
      <c r="N37" s="607"/>
    </row>
    <row r="38" spans="1:14" x14ac:dyDescent="0.25">
      <c r="A38" s="203" t="s">
        <v>58</v>
      </c>
      <c r="B38" s="354" t="s">
        <v>56</v>
      </c>
      <c r="C38" s="614">
        <f>C36/C37</f>
        <v>96.729410868276986</v>
      </c>
      <c r="D38" s="594">
        <f t="shared" ref="D38:J38" si="15">D36/D37</f>
        <v>443.39446613617338</v>
      </c>
      <c r="E38" s="594">
        <f t="shared" si="15"/>
        <v>544.45720052070988</v>
      </c>
      <c r="F38" s="594">
        <f t="shared" si="15"/>
        <v>670.16455337154798</v>
      </c>
      <c r="G38" s="594">
        <f t="shared" si="15"/>
        <v>831.14367037425041</v>
      </c>
      <c r="H38" s="594">
        <f t="shared" si="15"/>
        <v>1046.4099882901337</v>
      </c>
      <c r="I38" s="594">
        <f t="shared" si="15"/>
        <v>1350.0725092475691</v>
      </c>
      <c r="J38" s="594">
        <f t="shared" si="15"/>
        <v>1802.9464545411349</v>
      </c>
      <c r="K38" s="594">
        <f>K36/K37</f>
        <v>2513.0074611341952</v>
      </c>
      <c r="L38" s="594">
        <f>L36/L37</f>
        <v>3672.0911117653877</v>
      </c>
      <c r="M38" s="594">
        <f>M36/M37</f>
        <v>5622.7722202206869</v>
      </c>
      <c r="N38" s="607"/>
    </row>
    <row r="39" spans="1:14" x14ac:dyDescent="0.25">
      <c r="A39" s="203" t="s">
        <v>59</v>
      </c>
      <c r="B39" s="354" t="s">
        <v>28</v>
      </c>
      <c r="C39" s="615">
        <f>2.54648*C35/(1-$K4)/$C17/$C3/(C42*$C18)^2/$K7</f>
        <v>1.2629210850523931</v>
      </c>
      <c r="D39" s="595">
        <f t="shared" ref="D39:J39" si="16">2.54648*D35/(1-$K4)/$C17/$C3/(D42*$C18)^2/$K7</f>
        <v>1.4113446673163461</v>
      </c>
      <c r="E39" s="595">
        <f t="shared" si="16"/>
        <v>1.4761448109422035</v>
      </c>
      <c r="F39" s="595">
        <f t="shared" si="16"/>
        <v>1.5559375902459922</v>
      </c>
      <c r="G39" s="595">
        <f t="shared" si="16"/>
        <v>1.6586599442929906</v>
      </c>
      <c r="H39" s="595">
        <f t="shared" si="16"/>
        <v>1.797884949679152</v>
      </c>
      <c r="I39" s="595">
        <f t="shared" si="16"/>
        <v>1.9949476750632391</v>
      </c>
      <c r="J39" s="595">
        <f t="shared" si="16"/>
        <v>2.2813992273514634</v>
      </c>
      <c r="K39" s="595">
        <f>2.54648*K35/(1-$K4)/$C17/$C3/(K42*$C18)^2/$K7</f>
        <v>2.7017889515556122</v>
      </c>
      <c r="L39" s="595">
        <f>2.54648*L35/(1-$K4)/$C17/$C3/(L42*$C18)^2/$K7</f>
        <v>3.3167747565421872</v>
      </c>
      <c r="M39" s="595">
        <f>2.54648*M35/(1-$K4)/$C17/$C3/(M42*$C18)^2/$K7</f>
        <v>4.2065615460861761</v>
      </c>
      <c r="N39" s="607"/>
    </row>
    <row r="40" spans="1:14" x14ac:dyDescent="0.25">
      <c r="A40" s="203" t="s">
        <v>60</v>
      </c>
      <c r="B40" s="609" t="s">
        <v>28</v>
      </c>
      <c r="C40" s="615">
        <f>(1.3+0.3*$C19)*C35/(1-$K4)/$C17/(99.6+$C3*9.81*0.65*$C18)/$C18^2+C75</f>
        <v>0.25716296316451276</v>
      </c>
      <c r="D40" s="595">
        <f t="shared" ref="D40:J40" si="17">(1.3+0.3*$C19)*D35/(1-$K4)/$C17/(99.6+$C3*9.81*0.65*$C18)/$C18^2+D75</f>
        <v>0.36132509878146046</v>
      </c>
      <c r="E40" s="595">
        <f t="shared" si="17"/>
        <v>0.38662756054156289</v>
      </c>
      <c r="F40" s="595">
        <f t="shared" si="17"/>
        <v>0.41652894308838301</v>
      </c>
      <c r="G40" s="595">
        <f t="shared" si="17"/>
        <v>0.452958672758973</v>
      </c>
      <c r="H40" s="595">
        <f t="shared" si="17"/>
        <v>0.49928240425027376</v>
      </c>
      <c r="I40" s="595">
        <f t="shared" si="17"/>
        <v>0.56114584821300029</v>
      </c>
      <c r="J40" s="595">
        <f t="shared" si="17"/>
        <v>0.64762822963851496</v>
      </c>
      <c r="K40" s="595">
        <f>(1.3+0.3*$C19)*K35/(1-$K4)/$C17/(99.6+$C3*9.81*0.65*$C18)/$C18^2+K75</f>
        <v>0.77276891224178623</v>
      </c>
      <c r="L40" s="595">
        <f>(1.3+0.3*$C19)*L35/(1-$K4)/$C17/(99.6+$C3*9.81*0.65*$C18)/$C18^2+L75</f>
        <v>0.95753633507155289</v>
      </c>
      <c r="M40" s="595">
        <f>(1.3+0.3*$C19)*M35/(1-$K4)/$C17/(99.6+$C3*9.81*0.65*$C18)/$C18^2+M75</f>
        <v>1.2323140185962687</v>
      </c>
      <c r="N40" s="607"/>
    </row>
    <row r="41" spans="1:14" ht="13.8" thickBot="1" x14ac:dyDescent="0.3">
      <c r="A41" s="249" t="s">
        <v>61</v>
      </c>
      <c r="B41" s="610" t="s">
        <v>28</v>
      </c>
      <c r="C41" s="616">
        <f>(1+$K15/100)*IF($K14=1,MAX(0.69,0.81-0.014*C39),IF(C39&lt;7,-0.000205*C39^4+0.00518*C39^3-0.0462*C39^2+0.177*C39+0.59,0.85))/(1+SQRT(1+C39))*2</f>
        <v>0.63276670679592484</v>
      </c>
      <c r="D41" s="596">
        <f t="shared" ref="D41:J41" si="18">(1+$K15/100)*IF($K14=1,MAX(0.69,0.81-0.014*D39),IF(D39&lt;7,-0.000205*D39^4+0.00518*D39^3-0.0462*D39^2+0.177*D39+0.59,0.85))/(1+SQRT(1+D39))*2</f>
        <v>0.61910493815311873</v>
      </c>
      <c r="E41" s="596">
        <f t="shared" si="18"/>
        <v>0.61341389796851908</v>
      </c>
      <c r="F41" s="596">
        <f t="shared" si="18"/>
        <v>0.60661698282276122</v>
      </c>
      <c r="G41" s="596">
        <f t="shared" si="18"/>
        <v>0.59818807493526149</v>
      </c>
      <c r="H41" s="596">
        <f t="shared" si="18"/>
        <v>0.5872961063015385</v>
      </c>
      <c r="I41" s="596">
        <f t="shared" si="18"/>
        <v>0.5728214357310687</v>
      </c>
      <c r="J41" s="596">
        <f t="shared" si="18"/>
        <v>0.5534914259007625</v>
      </c>
      <c r="K41" s="596">
        <f>(1+$K15/100)*IF($K14=1,MAX(0.69,0.81-0.014*K39),IF(K39&lt;7,-0.000205*K39^4+0.00518*K39^3-0.0462*K39^2+0.177*K39+0.59,0.85))/(1+SQRT(1+K39))*2</f>
        <v>0.52816283572961642</v>
      </c>
      <c r="L41" s="596">
        <f>(1+$K15/100)*IF($K14=1,MAX(0.69,0.81-0.014*L39),IF(L39&lt;7,-0.000205*L39^4+0.00518*L39^3-0.0462*L39^2+0.177*L39+0.59,0.85))/(1+SQRT(1+L39))*2</f>
        <v>0.49619448742131161</v>
      </c>
      <c r="M41" s="596">
        <f>(1+$K15/100)*IF($K14=1,MAX(0.69,0.81-0.014*M39),IF(M39&lt;7,-0.000205*M39^4+0.00518*M39^3-0.0462*M39^2+0.177*M39+0.59,0.85))/(1+SQRT(1+M39))*2</f>
        <v>0.45774308646887574</v>
      </c>
      <c r="N41" s="607"/>
    </row>
    <row r="42" spans="1:14" ht="13.8" thickTop="1" x14ac:dyDescent="0.25">
      <c r="A42" s="50" t="s">
        <v>62</v>
      </c>
      <c r="B42" s="51" t="s">
        <v>63</v>
      </c>
      <c r="C42" s="94">
        <f t="shared" ref="C42:N42" si="19">C21*0.5144*(1-$K3)</f>
        <v>2.3202410454277516</v>
      </c>
      <c r="D42" s="52">
        <f t="shared" si="19"/>
        <v>3.6872133894548136</v>
      </c>
      <c r="E42" s="52">
        <f t="shared" si="19"/>
        <v>3.8778164909557056</v>
      </c>
      <c r="F42" s="52">
        <f t="shared" si="19"/>
        <v>4.0684195924565971</v>
      </c>
      <c r="G42" s="52">
        <f t="shared" si="19"/>
        <v>4.2590226939574896</v>
      </c>
      <c r="H42" s="52">
        <f t="shared" si="19"/>
        <v>4.4496257954583811</v>
      </c>
      <c r="I42" s="52">
        <f t="shared" si="19"/>
        <v>4.6402288969592727</v>
      </c>
      <c r="J42" s="52">
        <f t="shared" si="19"/>
        <v>4.8308319984601651</v>
      </c>
      <c r="K42" s="52">
        <f t="shared" si="19"/>
        <v>5.0214350999610557</v>
      </c>
      <c r="L42" s="52">
        <f t="shared" si="19"/>
        <v>5.2120382014619482</v>
      </c>
      <c r="M42" s="52">
        <f t="shared" si="19"/>
        <v>5.4026413029628397</v>
      </c>
      <c r="N42" s="264">
        <f t="shared" si="19"/>
        <v>6.1873094544740042</v>
      </c>
    </row>
    <row r="43" spans="1:14" x14ac:dyDescent="0.25">
      <c r="A43" s="35" t="s">
        <v>64</v>
      </c>
      <c r="B43" s="37" t="s">
        <v>63</v>
      </c>
      <c r="C43" s="93">
        <f t="shared" ref="C43:N43" si="20">C42*SQRT(1+C39)</f>
        <v>3.4903406059483246</v>
      </c>
      <c r="D43" s="47">
        <f t="shared" si="20"/>
        <v>5.7256911458834274</v>
      </c>
      <c r="E43" s="47">
        <f t="shared" si="20"/>
        <v>6.1020431311960692</v>
      </c>
      <c r="F43" s="47">
        <f t="shared" si="20"/>
        <v>6.5043044262233778</v>
      </c>
      <c r="G43" s="47">
        <f t="shared" si="20"/>
        <v>6.9445058874104575</v>
      </c>
      <c r="H43" s="47">
        <f t="shared" si="20"/>
        <v>7.4428354123033102</v>
      </c>
      <c r="I43" s="47">
        <f t="shared" si="20"/>
        <v>8.0303416727645374</v>
      </c>
      <c r="J43" s="47">
        <f t="shared" si="20"/>
        <v>8.7508747938113256</v>
      </c>
      <c r="K43" s="47">
        <f t="shared" si="20"/>
        <v>9.6612580334007117</v>
      </c>
      <c r="L43" s="47">
        <f t="shared" si="20"/>
        <v>10.828973336381482</v>
      </c>
      <c r="M43" s="47">
        <f t="shared" si="20"/>
        <v>12.327688094565076</v>
      </c>
      <c r="N43" s="265">
        <f t="shared" si="20"/>
        <v>6.1873094544740042</v>
      </c>
    </row>
    <row r="44" spans="1:14" x14ac:dyDescent="0.25">
      <c r="A44" s="35" t="s">
        <v>65</v>
      </c>
      <c r="B44" s="37" t="s">
        <v>63</v>
      </c>
      <c r="C44" s="93">
        <f t="shared" ref="C44:N44" si="21">C43-C42</f>
        <v>1.1700995605205731</v>
      </c>
      <c r="D44" s="47">
        <f t="shared" si="21"/>
        <v>2.0384777564286138</v>
      </c>
      <c r="E44" s="47">
        <f t="shared" si="21"/>
        <v>2.2242266402403637</v>
      </c>
      <c r="F44" s="47">
        <f t="shared" si="21"/>
        <v>2.4358848337667807</v>
      </c>
      <c r="G44" s="47">
        <f t="shared" si="21"/>
        <v>2.6854831934529679</v>
      </c>
      <c r="H44" s="47">
        <f t="shared" si="21"/>
        <v>2.9932096168449291</v>
      </c>
      <c r="I44" s="47">
        <f t="shared" si="21"/>
        <v>3.3901127758052647</v>
      </c>
      <c r="J44" s="47">
        <f t="shared" si="21"/>
        <v>3.9200427953511605</v>
      </c>
      <c r="K44" s="47">
        <f t="shared" si="21"/>
        <v>4.6398229334396559</v>
      </c>
      <c r="L44" s="47">
        <f t="shared" si="21"/>
        <v>5.616935134919534</v>
      </c>
      <c r="M44" s="47">
        <f t="shared" si="21"/>
        <v>6.9250467916022362</v>
      </c>
      <c r="N44" s="265">
        <f t="shared" si="21"/>
        <v>0</v>
      </c>
    </row>
    <row r="45" spans="1:14" x14ac:dyDescent="0.25">
      <c r="A45" s="35" t="s">
        <v>66</v>
      </c>
      <c r="B45" s="37" t="s">
        <v>28</v>
      </c>
      <c r="C45" s="93">
        <f t="shared" ref="C45:N45" si="22">C43/C42</f>
        <v>1.5043008625445886</v>
      </c>
      <c r="D45" s="47">
        <f t="shared" si="22"/>
        <v>1.5528504974131754</v>
      </c>
      <c r="E45" s="47">
        <f t="shared" si="22"/>
        <v>1.5735770749925799</v>
      </c>
      <c r="F45" s="47">
        <f t="shared" si="22"/>
        <v>1.5987299929149987</v>
      </c>
      <c r="G45" s="47">
        <f t="shared" si="22"/>
        <v>1.6305397708406228</v>
      </c>
      <c r="H45" s="47">
        <f t="shared" si="22"/>
        <v>1.6726879415118505</v>
      </c>
      <c r="I45" s="47">
        <f t="shared" si="22"/>
        <v>1.730591712410307</v>
      </c>
      <c r="J45" s="47">
        <f t="shared" si="22"/>
        <v>1.8114632834676676</v>
      </c>
      <c r="K45" s="47">
        <f t="shared" si="22"/>
        <v>1.9240033657859366</v>
      </c>
      <c r="L45" s="47">
        <f t="shared" si="22"/>
        <v>2.0776849512238829</v>
      </c>
      <c r="M45" s="47">
        <f t="shared" si="22"/>
        <v>2.2817891107826278</v>
      </c>
      <c r="N45" s="265">
        <f t="shared" si="22"/>
        <v>1</v>
      </c>
    </row>
    <row r="46" spans="1:14" x14ac:dyDescent="0.25">
      <c r="A46" s="35" t="s">
        <v>67</v>
      </c>
      <c r="B46" s="37" t="s">
        <v>63</v>
      </c>
      <c r="C46" s="93">
        <f t="shared" ref="C46:N46" si="23">C42+0.5*C44</f>
        <v>2.9052908256880379</v>
      </c>
      <c r="D46" s="47">
        <f t="shared" si="23"/>
        <v>4.7064522676691203</v>
      </c>
      <c r="E46" s="47">
        <f t="shared" si="23"/>
        <v>4.9899298110758874</v>
      </c>
      <c r="F46" s="47">
        <f t="shared" si="23"/>
        <v>5.286362009339987</v>
      </c>
      <c r="G46" s="47">
        <f t="shared" si="23"/>
        <v>5.601764290683974</v>
      </c>
      <c r="H46" s="47">
        <f t="shared" si="23"/>
        <v>5.9462306038808457</v>
      </c>
      <c r="I46" s="47">
        <f t="shared" si="23"/>
        <v>6.3352852848619055</v>
      </c>
      <c r="J46" s="47">
        <f t="shared" si="23"/>
        <v>6.7908533961357449</v>
      </c>
      <c r="K46" s="47">
        <f t="shared" si="23"/>
        <v>7.3413465666808833</v>
      </c>
      <c r="L46" s="47">
        <f t="shared" si="23"/>
        <v>8.0205057689217156</v>
      </c>
      <c r="M46" s="47">
        <f t="shared" si="23"/>
        <v>8.8651646987639587</v>
      </c>
      <c r="N46" s="265">
        <f t="shared" si="23"/>
        <v>6.1873094544740042</v>
      </c>
    </row>
    <row r="47" spans="1:14" x14ac:dyDescent="0.25">
      <c r="A47" s="35" t="s">
        <v>68</v>
      </c>
      <c r="B47" s="37" t="s">
        <v>69</v>
      </c>
      <c r="C47" s="92">
        <f t="shared" ref="C47:N47" si="24">0.785*$C18^2*C46</f>
        <v>21.544101314324461</v>
      </c>
      <c r="D47" s="46">
        <f t="shared" si="24"/>
        <v>34.900562652512669</v>
      </c>
      <c r="E47" s="46">
        <f t="shared" si="24"/>
        <v>37.002682296264638</v>
      </c>
      <c r="F47" s="46">
        <f t="shared" si="24"/>
        <v>39.20086681389111</v>
      </c>
      <c r="G47" s="46">
        <f t="shared" si="24"/>
        <v>41.539723441930988</v>
      </c>
      <c r="H47" s="46">
        <f t="shared" si="24"/>
        <v>44.094103569823254</v>
      </c>
      <c r="I47" s="46">
        <f t="shared" si="24"/>
        <v>46.979127468208063</v>
      </c>
      <c r="J47" s="46">
        <f t="shared" si="24"/>
        <v>50.357379813232654</v>
      </c>
      <c r="K47" s="46">
        <f t="shared" si="24"/>
        <v>54.43954622982865</v>
      </c>
      <c r="L47" s="46">
        <f t="shared" si="24"/>
        <v>59.475831937359189</v>
      </c>
      <c r="M47" s="46">
        <f t="shared" si="24"/>
        <v>65.739376158017578</v>
      </c>
      <c r="N47" s="244">
        <f t="shared" si="24"/>
        <v>45.881816915419172</v>
      </c>
    </row>
    <row r="48" spans="1:14" ht="13.8" thickBot="1" x14ac:dyDescent="0.3">
      <c r="A48" s="35" t="s">
        <v>70</v>
      </c>
      <c r="B48" s="37" t="s">
        <v>28</v>
      </c>
      <c r="C48" s="88">
        <f t="shared" ref="C48:N48" si="25">C64+C65+C117</f>
        <v>0.6712373947960526</v>
      </c>
      <c r="D48" s="42">
        <f t="shared" si="25"/>
        <v>1.2368544009890621</v>
      </c>
      <c r="E48" s="42">
        <f t="shared" si="25"/>
        <v>1.3975738006717082</v>
      </c>
      <c r="F48" s="42">
        <f t="shared" si="25"/>
        <v>1.5919850195247027</v>
      </c>
      <c r="G48" s="42">
        <f t="shared" si="25"/>
        <v>1.8383614782841449</v>
      </c>
      <c r="H48" s="42">
        <f t="shared" si="25"/>
        <v>2.1678933327459027</v>
      </c>
      <c r="I48" s="42">
        <f t="shared" si="25"/>
        <v>2.629564877224785</v>
      </c>
      <c r="J48" s="42">
        <f t="shared" si="25"/>
        <v>3.2957842967730526</v>
      </c>
      <c r="K48" s="42">
        <f t="shared" si="25"/>
        <v>4.2687657681494695</v>
      </c>
      <c r="L48" s="42">
        <f t="shared" si="25"/>
        <v>5.687663909535396</v>
      </c>
      <c r="M48" s="42">
        <f t="shared" si="25"/>
        <v>7.7364605790086109</v>
      </c>
      <c r="N48" s="271">
        <f t="shared" si="25"/>
        <v>29.028831316493815</v>
      </c>
    </row>
    <row r="49" spans="1:14" x14ac:dyDescent="0.25">
      <c r="A49" s="50"/>
      <c r="B49" s="55" t="s">
        <v>71</v>
      </c>
      <c r="C49" s="54">
        <f t="shared" ref="C49:N49" si="26">1.35-0.23*$C13+0.012*$C13^2</f>
        <v>0.50533586913377537</v>
      </c>
      <c r="D49" s="54">
        <f t="shared" si="26"/>
        <v>0.50533586913377537</v>
      </c>
      <c r="E49" s="54">
        <f t="shared" si="26"/>
        <v>0.50533586913377537</v>
      </c>
      <c r="F49" s="54">
        <f t="shared" si="26"/>
        <v>0.50533586913377537</v>
      </c>
      <c r="G49" s="54">
        <f t="shared" si="26"/>
        <v>0.50533586913377537</v>
      </c>
      <c r="H49" s="54">
        <f t="shared" si="26"/>
        <v>0.50533586913377537</v>
      </c>
      <c r="I49" s="54">
        <f t="shared" si="26"/>
        <v>0.50533586913377537</v>
      </c>
      <c r="J49" s="54">
        <f t="shared" si="26"/>
        <v>0.50533586913377537</v>
      </c>
      <c r="K49" s="54">
        <f t="shared" si="26"/>
        <v>0.50533586913377537</v>
      </c>
      <c r="L49" s="54">
        <f t="shared" si="26"/>
        <v>0.50533586913377537</v>
      </c>
      <c r="M49" s="54">
        <f t="shared" si="26"/>
        <v>0.50533586913377537</v>
      </c>
      <c r="N49" s="57">
        <f t="shared" si="26"/>
        <v>0.50533586913377537</v>
      </c>
    </row>
    <row r="50" spans="1:14" x14ac:dyDescent="0.25">
      <c r="A50" s="35"/>
      <c r="B50" s="53" t="s">
        <v>72</v>
      </c>
      <c r="C50" s="43">
        <f t="shared" ref="C50:N50" si="27">0.0011*$C13^9.1</f>
        <v>2310.4354735193988</v>
      </c>
      <c r="D50" s="43">
        <f t="shared" si="27"/>
        <v>2310.4354735193988</v>
      </c>
      <c r="E50" s="43">
        <f t="shared" si="27"/>
        <v>2310.4354735193988</v>
      </c>
      <c r="F50" s="43">
        <f t="shared" si="27"/>
        <v>2310.4354735193988</v>
      </c>
      <c r="G50" s="43">
        <f t="shared" si="27"/>
        <v>2310.4354735193988</v>
      </c>
      <c r="H50" s="43">
        <f t="shared" si="27"/>
        <v>2310.4354735193988</v>
      </c>
      <c r="I50" s="43">
        <f t="shared" si="27"/>
        <v>2310.4354735193988</v>
      </c>
      <c r="J50" s="43">
        <f t="shared" si="27"/>
        <v>2310.4354735193988</v>
      </c>
      <c r="K50" s="43">
        <f t="shared" si="27"/>
        <v>2310.4354735193988</v>
      </c>
      <c r="L50" s="43">
        <f t="shared" si="27"/>
        <v>2310.4354735193988</v>
      </c>
      <c r="M50" s="43">
        <f t="shared" si="27"/>
        <v>2310.4354735193988</v>
      </c>
      <c r="N50" s="46">
        <f t="shared" si="27"/>
        <v>2310.4354735193988</v>
      </c>
    </row>
    <row r="51" spans="1:14" x14ac:dyDescent="0.25">
      <c r="A51" s="35"/>
      <c r="B51" s="53" t="s">
        <v>73</v>
      </c>
      <c r="C51" s="42">
        <f t="shared" ref="C51:N51" si="28">2*$C13-3.7</f>
        <v>6.2034922203783145</v>
      </c>
      <c r="D51" s="42">
        <f t="shared" si="28"/>
        <v>6.2034922203783145</v>
      </c>
      <c r="E51" s="42">
        <f t="shared" si="28"/>
        <v>6.2034922203783145</v>
      </c>
      <c r="F51" s="42">
        <f t="shared" si="28"/>
        <v>6.2034922203783145</v>
      </c>
      <c r="G51" s="42">
        <f t="shared" si="28"/>
        <v>6.2034922203783145</v>
      </c>
      <c r="H51" s="42">
        <f t="shared" si="28"/>
        <v>6.2034922203783145</v>
      </c>
      <c r="I51" s="42">
        <f t="shared" si="28"/>
        <v>6.2034922203783145</v>
      </c>
      <c r="J51" s="42">
        <f t="shared" si="28"/>
        <v>6.2034922203783145</v>
      </c>
      <c r="K51" s="42">
        <f t="shared" si="28"/>
        <v>6.2034922203783145</v>
      </c>
      <c r="L51" s="42">
        <f t="shared" si="28"/>
        <v>6.2034922203783145</v>
      </c>
      <c r="M51" s="42">
        <f t="shared" si="28"/>
        <v>6.2034922203783145</v>
      </c>
      <c r="N51" s="56">
        <f t="shared" si="28"/>
        <v>6.2034922203783145</v>
      </c>
    </row>
    <row r="52" spans="1:14" x14ac:dyDescent="0.25">
      <c r="A52" s="35"/>
      <c r="B52" s="53" t="s">
        <v>74</v>
      </c>
      <c r="C52" s="42">
        <f t="shared" ref="C52:N52" si="29">7-0.09*$C13^2</f>
        <v>4.7932189414203901</v>
      </c>
      <c r="D52" s="42">
        <f t="shared" si="29"/>
        <v>4.7932189414203901</v>
      </c>
      <c r="E52" s="42">
        <f t="shared" si="29"/>
        <v>4.7932189414203901</v>
      </c>
      <c r="F52" s="42">
        <f t="shared" si="29"/>
        <v>4.7932189414203901</v>
      </c>
      <c r="G52" s="42">
        <f t="shared" si="29"/>
        <v>4.7932189414203901</v>
      </c>
      <c r="H52" s="42">
        <f t="shared" si="29"/>
        <v>4.7932189414203901</v>
      </c>
      <c r="I52" s="42">
        <f t="shared" si="29"/>
        <v>4.7932189414203901</v>
      </c>
      <c r="J52" s="42">
        <f t="shared" si="29"/>
        <v>4.7932189414203901</v>
      </c>
      <c r="K52" s="42">
        <f t="shared" si="29"/>
        <v>4.7932189414203901</v>
      </c>
      <c r="L52" s="42">
        <f t="shared" si="29"/>
        <v>4.7932189414203901</v>
      </c>
      <c r="M52" s="42">
        <f t="shared" si="29"/>
        <v>4.7932189414203901</v>
      </c>
      <c r="N52" s="56">
        <f t="shared" si="29"/>
        <v>4.7932189414203901</v>
      </c>
    </row>
    <row r="53" spans="1:14" x14ac:dyDescent="0.25">
      <c r="A53" s="35"/>
      <c r="B53" s="53" t="s">
        <v>75</v>
      </c>
      <c r="C53" s="42">
        <f t="shared" ref="C53:N53" si="30">(5*$C12-2.5)^2</f>
        <v>1.9699499280195145</v>
      </c>
      <c r="D53" s="42">
        <f t="shared" si="30"/>
        <v>1.9699499280195145</v>
      </c>
      <c r="E53" s="42">
        <f t="shared" si="30"/>
        <v>1.9699499280195145</v>
      </c>
      <c r="F53" s="42">
        <f t="shared" si="30"/>
        <v>1.9699499280195145</v>
      </c>
      <c r="G53" s="42">
        <f t="shared" si="30"/>
        <v>1.9699499280195145</v>
      </c>
      <c r="H53" s="42">
        <f t="shared" si="30"/>
        <v>1.9699499280195145</v>
      </c>
      <c r="I53" s="42">
        <f t="shared" si="30"/>
        <v>1.9699499280195145</v>
      </c>
      <c r="J53" s="42">
        <f t="shared" si="30"/>
        <v>1.9699499280195145</v>
      </c>
      <c r="K53" s="42">
        <f t="shared" si="30"/>
        <v>1.9699499280195145</v>
      </c>
      <c r="L53" s="42">
        <f t="shared" si="30"/>
        <v>1.9699499280195145</v>
      </c>
      <c r="M53" s="42">
        <f t="shared" si="30"/>
        <v>1.9699499280195145</v>
      </c>
      <c r="N53" s="56">
        <f t="shared" si="30"/>
        <v>1.9699499280195145</v>
      </c>
    </row>
    <row r="54" spans="1:14" x14ac:dyDescent="0.25">
      <c r="A54" s="35"/>
      <c r="B54" s="53" t="s">
        <v>76</v>
      </c>
      <c r="C54" s="42">
        <f t="shared" ref="C54:N54" si="31">(600*(C22-0.315)^2+1)^1.5</f>
        <v>116.21866402766382</v>
      </c>
      <c r="D54" s="42">
        <f t="shared" si="31"/>
        <v>32.914866281614927</v>
      </c>
      <c r="E54" s="42">
        <f t="shared" si="31"/>
        <v>26.365644653148415</v>
      </c>
      <c r="F54" s="42">
        <f t="shared" si="31"/>
        <v>20.798874499411056</v>
      </c>
      <c r="G54" s="42">
        <f t="shared" si="31"/>
        <v>16.130584006034162</v>
      </c>
      <c r="H54" s="42">
        <f t="shared" si="31"/>
        <v>12.277002360042575</v>
      </c>
      <c r="I54" s="42">
        <f t="shared" si="31"/>
        <v>9.1546672481812088</v>
      </c>
      <c r="J54" s="42">
        <f t="shared" si="31"/>
        <v>6.6806052776539762</v>
      </c>
      <c r="K54" s="42">
        <f t="shared" si="31"/>
        <v>4.7726452880337096</v>
      </c>
      <c r="L54" s="42">
        <f t="shared" si="31"/>
        <v>3.3499808016143415</v>
      </c>
      <c r="M54" s="42">
        <f t="shared" si="31"/>
        <v>2.3342076079393079</v>
      </c>
      <c r="N54" s="56">
        <f t="shared" si="31"/>
        <v>1.0225841652402019</v>
      </c>
    </row>
    <row r="55" spans="1:14" x14ac:dyDescent="0.25">
      <c r="A55" s="35"/>
      <c r="B55" s="53" t="s">
        <v>77</v>
      </c>
      <c r="C55" s="42">
        <f t="shared" ref="C55:N55" si="32">C52*C53/C54</f>
        <v>8.1246858132745972E-2</v>
      </c>
      <c r="D55" s="42">
        <f t="shared" si="32"/>
        <v>0.28687345188781943</v>
      </c>
      <c r="E55" s="42">
        <f t="shared" si="32"/>
        <v>0.35813276833742502</v>
      </c>
      <c r="F55" s="42">
        <f t="shared" si="32"/>
        <v>0.45398616684283771</v>
      </c>
      <c r="G55" s="42">
        <f t="shared" si="32"/>
        <v>0.58537256339266064</v>
      </c>
      <c r="H55" s="42">
        <f t="shared" si="32"/>
        <v>0.7691129342260814</v>
      </c>
      <c r="I55" s="42">
        <f t="shared" si="32"/>
        <v>1.0314303133747245</v>
      </c>
      <c r="J55" s="42">
        <f t="shared" si="32"/>
        <v>1.4134050607984361</v>
      </c>
      <c r="K55" s="42">
        <f t="shared" si="32"/>
        <v>1.9784418784080771</v>
      </c>
      <c r="L55" s="42">
        <f t="shared" si="32"/>
        <v>2.8186434095630091</v>
      </c>
      <c r="M55" s="42">
        <f t="shared" si="32"/>
        <v>4.0452277151854714</v>
      </c>
      <c r="N55" s="56">
        <f t="shared" si="32"/>
        <v>9.233862238043633</v>
      </c>
    </row>
    <row r="56" spans="1:14" x14ac:dyDescent="0.25">
      <c r="A56" s="35"/>
      <c r="B56" s="53"/>
      <c r="C56" s="42">
        <f t="shared" ref="C56:N56" si="33">C22-(0.04+0.59*$C12)-0.015*($C13-5)</f>
        <v>-0.37989497922762833</v>
      </c>
      <c r="D56" s="42">
        <f t="shared" si="33"/>
        <v>-0.30919685861360985</v>
      </c>
      <c r="E56" s="42">
        <f t="shared" si="33"/>
        <v>-0.29933910171150729</v>
      </c>
      <c r="F56" s="42">
        <f t="shared" si="33"/>
        <v>-0.28948134480940479</v>
      </c>
      <c r="G56" s="42">
        <f t="shared" si="33"/>
        <v>-0.27962358790730224</v>
      </c>
      <c r="H56" s="42">
        <f t="shared" si="33"/>
        <v>-0.26976583100519974</v>
      </c>
      <c r="I56" s="42">
        <f t="shared" si="33"/>
        <v>-0.25990807410309719</v>
      </c>
      <c r="J56" s="42">
        <f t="shared" si="33"/>
        <v>-0.25005031720099463</v>
      </c>
      <c r="K56" s="42">
        <f t="shared" si="33"/>
        <v>-0.2401925602988921</v>
      </c>
      <c r="L56" s="42">
        <f t="shared" si="33"/>
        <v>-0.23033480339678955</v>
      </c>
      <c r="M56" s="42">
        <f t="shared" si="33"/>
        <v>-0.22047704649468705</v>
      </c>
      <c r="N56" s="56">
        <f t="shared" si="33"/>
        <v>-0.17989497922762829</v>
      </c>
    </row>
    <row r="57" spans="1:14" x14ac:dyDescent="0.25">
      <c r="A57" s="18"/>
      <c r="B57" s="53" t="s">
        <v>78</v>
      </c>
      <c r="C57" s="42">
        <f t="shared" ref="C57:N57" si="34">EXP(80*C56)</f>
        <v>6.3255245482617546E-14</v>
      </c>
      <c r="D57" s="42">
        <f t="shared" si="34"/>
        <v>1.8088428543514182E-11</v>
      </c>
      <c r="E57" s="42">
        <f t="shared" si="34"/>
        <v>3.9801037468881073E-11</v>
      </c>
      <c r="F57" s="42">
        <f t="shared" si="34"/>
        <v>8.7576573044388065E-11</v>
      </c>
      <c r="G57" s="42">
        <f t="shared" si="34"/>
        <v>1.9269990517698709E-10</v>
      </c>
      <c r="H57" s="42">
        <f t="shared" si="34"/>
        <v>4.2400898053408356E-10</v>
      </c>
      <c r="I57" s="42">
        <f t="shared" si="34"/>
        <v>9.3297199813580327E-10</v>
      </c>
      <c r="J57" s="42">
        <f t="shared" si="34"/>
        <v>2.0528733806748796E-9</v>
      </c>
      <c r="K57" s="42">
        <f t="shared" si="34"/>
        <v>4.5170585242688899E-9</v>
      </c>
      <c r="L57" s="42">
        <f t="shared" si="34"/>
        <v>9.9391506089686418E-9</v>
      </c>
      <c r="M57" s="42">
        <f t="shared" si="34"/>
        <v>2.1869700004329735E-8</v>
      </c>
      <c r="N57" s="56">
        <f t="shared" si="34"/>
        <v>5.620931023603968E-7</v>
      </c>
    </row>
    <row r="58" spans="1:14" x14ac:dyDescent="0.25">
      <c r="A58" s="18"/>
      <c r="B58" s="53"/>
      <c r="C58" s="42">
        <f t="shared" ref="C58:N58" si="35">20*$C12-16</f>
        <v>-0.38580381102403649</v>
      </c>
      <c r="D58" s="42">
        <f t="shared" si="35"/>
        <v>-0.38580381102403649</v>
      </c>
      <c r="E58" s="42">
        <f t="shared" si="35"/>
        <v>-0.38580381102403649</v>
      </c>
      <c r="F58" s="42">
        <f t="shared" si="35"/>
        <v>-0.38580381102403649</v>
      </c>
      <c r="G58" s="42">
        <f t="shared" si="35"/>
        <v>-0.38580381102403649</v>
      </c>
      <c r="H58" s="42">
        <f t="shared" si="35"/>
        <v>-0.38580381102403649</v>
      </c>
      <c r="I58" s="42">
        <f t="shared" si="35"/>
        <v>-0.38580381102403649</v>
      </c>
      <c r="J58" s="42">
        <f t="shared" si="35"/>
        <v>-0.38580381102403649</v>
      </c>
      <c r="K58" s="42">
        <f t="shared" si="35"/>
        <v>-0.38580381102403649</v>
      </c>
      <c r="L58" s="42">
        <f t="shared" si="35"/>
        <v>-0.38580381102403649</v>
      </c>
      <c r="M58" s="42">
        <f t="shared" si="35"/>
        <v>-0.38580381102403649</v>
      </c>
      <c r="N58" s="56">
        <f t="shared" si="35"/>
        <v>-0.38580381102403649</v>
      </c>
    </row>
    <row r="59" spans="1:14" x14ac:dyDescent="0.25">
      <c r="A59" s="18"/>
      <c r="B59" s="53" t="s">
        <v>79</v>
      </c>
      <c r="C59" s="42">
        <f t="shared" ref="C59:N59" si="36">180*C22^3.7*EXP(C58)</f>
        <v>4.7939185309851674E-2</v>
      </c>
      <c r="D59" s="42">
        <f t="shared" si="36"/>
        <v>0.26607358845563939</v>
      </c>
      <c r="E59" s="42">
        <f t="shared" si="36"/>
        <v>0.32062028561259903</v>
      </c>
      <c r="F59" s="42">
        <f t="shared" si="36"/>
        <v>0.38290707158479309</v>
      </c>
      <c r="G59" s="42">
        <f t="shared" si="36"/>
        <v>0.45359158640057828</v>
      </c>
      <c r="H59" s="42">
        <f t="shared" si="36"/>
        <v>0.5333534024183989</v>
      </c>
      <c r="I59" s="42">
        <f t="shared" si="36"/>
        <v>0.62289372486341787</v>
      </c>
      <c r="J59" s="42">
        <f t="shared" si="36"/>
        <v>0.72293510932384697</v>
      </c>
      <c r="K59" s="42">
        <f t="shared" si="36"/>
        <v>0.8342211945774799</v>
      </c>
      <c r="L59" s="42">
        <f t="shared" si="36"/>
        <v>0.95751644933468649</v>
      </c>
      <c r="M59" s="42">
        <f t="shared" si="36"/>
        <v>1.0936059316640789</v>
      </c>
      <c r="N59" s="56">
        <f t="shared" si="36"/>
        <v>1.8062379328283633</v>
      </c>
    </row>
    <row r="60" spans="1:14" x14ac:dyDescent="0.25">
      <c r="A60" s="18"/>
      <c r="B60" s="53"/>
      <c r="C60" s="42">
        <f t="shared" ref="C60:N60" si="37">C49+1.5*C22^1.8+C50*C22^(C51)</f>
        <v>0.54282501706947661</v>
      </c>
      <c r="D60" s="42">
        <f t="shared" si="37"/>
        <v>0.66062866823277477</v>
      </c>
      <c r="E60" s="42">
        <f t="shared" si="37"/>
        <v>0.69695604943806244</v>
      </c>
      <c r="F60" s="42">
        <f t="shared" si="37"/>
        <v>0.7420511950180253</v>
      </c>
      <c r="G60" s="42">
        <f t="shared" si="37"/>
        <v>0.79780344506386913</v>
      </c>
      <c r="H60" s="42">
        <f t="shared" si="37"/>
        <v>0.86640834007994838</v>
      </c>
      <c r="I60" s="42">
        <f t="shared" si="37"/>
        <v>0.95040006538105426</v>
      </c>
      <c r="J60" s="42">
        <f t="shared" si="37"/>
        <v>1.0526856935925937</v>
      </c>
      <c r="K60" s="42">
        <f t="shared" si="37"/>
        <v>1.176581241010922</v>
      </c>
      <c r="L60" s="42">
        <f t="shared" si="37"/>
        <v>1.3258495531064227</v>
      </c>
      <c r="M60" s="42">
        <f t="shared" si="37"/>
        <v>1.5047400340013641</v>
      </c>
      <c r="N60" s="56">
        <f t="shared" si="37"/>
        <v>2.6656619620179502</v>
      </c>
    </row>
    <row r="61" spans="1:14" x14ac:dyDescent="0.25">
      <c r="A61" s="35"/>
      <c r="B61" s="53"/>
      <c r="C61" s="42">
        <f t="shared" ref="C61:N61" si="38">0.98+2.5/($C13-2)^4</f>
        <v>1.0129324476607617</v>
      </c>
      <c r="D61" s="42">
        <f t="shared" si="38"/>
        <v>1.0129324476607617</v>
      </c>
      <c r="E61" s="42">
        <f t="shared" si="38"/>
        <v>1.0129324476607617</v>
      </c>
      <c r="F61" s="42">
        <f t="shared" si="38"/>
        <v>1.0129324476607617</v>
      </c>
      <c r="G61" s="42">
        <f t="shared" si="38"/>
        <v>1.0129324476607617</v>
      </c>
      <c r="H61" s="42">
        <f t="shared" si="38"/>
        <v>1.0129324476607617</v>
      </c>
      <c r="I61" s="42">
        <f t="shared" si="38"/>
        <v>1.0129324476607617</v>
      </c>
      <c r="J61" s="42">
        <f t="shared" si="38"/>
        <v>1.0129324476607617</v>
      </c>
      <c r="K61" s="42">
        <f t="shared" si="38"/>
        <v>1.0129324476607617</v>
      </c>
      <c r="L61" s="42">
        <f t="shared" si="38"/>
        <v>1.0129324476607617</v>
      </c>
      <c r="M61" s="42">
        <f t="shared" si="38"/>
        <v>1.0129324476607617</v>
      </c>
      <c r="N61" s="56">
        <f t="shared" si="38"/>
        <v>1.0129324476607617</v>
      </c>
    </row>
    <row r="62" spans="1:14" x14ac:dyDescent="0.25">
      <c r="A62" s="35"/>
      <c r="B62" s="53"/>
      <c r="C62" s="42">
        <f t="shared" ref="C62:N62" si="39">($C13-5)^4*(C22-0.1)^4</f>
        <v>8.6745967516153361E-13</v>
      </c>
      <c r="D62" s="42">
        <f t="shared" si="39"/>
        <v>3.6687867133892593E-10</v>
      </c>
      <c r="E62" s="42">
        <f t="shared" si="39"/>
        <v>5.5431822006202618E-10</v>
      </c>
      <c r="F62" s="42">
        <f t="shared" si="39"/>
        <v>8.0578677399081419E-10</v>
      </c>
      <c r="G62" s="42">
        <f t="shared" si="39"/>
        <v>1.134432480665776E-9</v>
      </c>
      <c r="H62" s="42">
        <f t="shared" si="39"/>
        <v>1.5546322077488813E-9</v>
      </c>
      <c r="I62" s="42">
        <f t="shared" si="39"/>
        <v>2.0819915430235904E-9</v>
      </c>
      <c r="J62" s="42">
        <f t="shared" si="39"/>
        <v>2.7333447943948524E-9</v>
      </c>
      <c r="K62" s="42">
        <f t="shared" si="39"/>
        <v>3.5267549898890963E-9</v>
      </c>
      <c r="L62" s="42">
        <f t="shared" si="39"/>
        <v>4.4815138776542524E-9</v>
      </c>
      <c r="M62" s="42">
        <f t="shared" si="39"/>
        <v>5.6181419259597193E-9</v>
      </c>
      <c r="N62" s="56">
        <f t="shared" si="39"/>
        <v>1.2700477104040041E-8</v>
      </c>
    </row>
    <row r="63" spans="1:14" x14ac:dyDescent="0.25">
      <c r="A63" s="35"/>
      <c r="B63" s="53" t="s">
        <v>80</v>
      </c>
      <c r="C63" s="42">
        <f t="shared" ref="C63:N63" si="40">C60*C61+C62</f>
        <v>0.54984507319254716</v>
      </c>
      <c r="D63" s="42">
        <f t="shared" si="40"/>
        <v>0.66917221427477247</v>
      </c>
      <c r="E63" s="42">
        <f t="shared" si="40"/>
        <v>0.70596939762358968</v>
      </c>
      <c r="F63" s="42">
        <f t="shared" si="40"/>
        <v>0.75164773406498842</v>
      </c>
      <c r="G63" s="42">
        <f t="shared" si="40"/>
        <v>0.80812099749516542</v>
      </c>
      <c r="H63" s="42">
        <f t="shared" si="40"/>
        <v>0.87761312214551201</v>
      </c>
      <c r="I63" s="42">
        <f t="shared" si="40"/>
        <v>0.96269106656537085</v>
      </c>
      <c r="J63" s="42">
        <f t="shared" si="40"/>
        <v>1.0662994989615575</v>
      </c>
      <c r="K63" s="42">
        <f t="shared" si="40"/>
        <v>1.1917973198556848</v>
      </c>
      <c r="L63" s="42">
        <f t="shared" si="40"/>
        <v>1.3429960375395298</v>
      </c>
      <c r="M63" s="42">
        <f t="shared" si="40"/>
        <v>1.5242000113522816</v>
      </c>
      <c r="N63" s="56">
        <f t="shared" si="40"/>
        <v>2.7001355085235081</v>
      </c>
    </row>
    <row r="64" spans="1:14" x14ac:dyDescent="0.25">
      <c r="A64" s="35"/>
      <c r="B64" s="53" t="s">
        <v>81</v>
      </c>
      <c r="C64" s="42">
        <f t="shared" ref="C64:N64" si="41">0.16*($C5/$C6-2.5)</f>
        <v>5.8527412576470539E-2</v>
      </c>
      <c r="D64" s="42">
        <f t="shared" si="41"/>
        <v>5.8527412576470539E-2</v>
      </c>
      <c r="E64" s="42">
        <f t="shared" si="41"/>
        <v>5.8527412576470539E-2</v>
      </c>
      <c r="F64" s="42">
        <f t="shared" si="41"/>
        <v>5.8527412576470539E-2</v>
      </c>
      <c r="G64" s="42">
        <f t="shared" si="41"/>
        <v>5.8527412576470539E-2</v>
      </c>
      <c r="H64" s="42">
        <f t="shared" si="41"/>
        <v>5.8527412576470539E-2</v>
      </c>
      <c r="I64" s="42">
        <f t="shared" si="41"/>
        <v>5.8527412576470539E-2</v>
      </c>
      <c r="J64" s="42">
        <f t="shared" si="41"/>
        <v>5.8527412576470539E-2</v>
      </c>
      <c r="K64" s="42">
        <f t="shared" si="41"/>
        <v>5.8527412576470539E-2</v>
      </c>
      <c r="L64" s="42">
        <f t="shared" si="41"/>
        <v>5.8527412576470539E-2</v>
      </c>
      <c r="M64" s="42">
        <f t="shared" si="41"/>
        <v>5.8527412576470539E-2</v>
      </c>
      <c r="N64" s="56">
        <f t="shared" si="41"/>
        <v>5.8527412576470539E-2</v>
      </c>
    </row>
    <row r="65" spans="1:14" x14ac:dyDescent="0.25">
      <c r="A65" s="35"/>
      <c r="B65" s="53" t="s">
        <v>82</v>
      </c>
      <c r="C65" s="42">
        <f t="shared" ref="C65:N65" si="42">($C15-$C14)/3*0.1</f>
        <v>0</v>
      </c>
      <c r="D65" s="42">
        <f t="shared" si="42"/>
        <v>0</v>
      </c>
      <c r="E65" s="42">
        <f t="shared" si="42"/>
        <v>0</v>
      </c>
      <c r="F65" s="42">
        <f t="shared" si="42"/>
        <v>0</v>
      </c>
      <c r="G65" s="42">
        <f t="shared" si="42"/>
        <v>0</v>
      </c>
      <c r="H65" s="42">
        <f t="shared" si="42"/>
        <v>0</v>
      </c>
      <c r="I65" s="42">
        <f t="shared" si="42"/>
        <v>0</v>
      </c>
      <c r="J65" s="42">
        <f t="shared" si="42"/>
        <v>0</v>
      </c>
      <c r="K65" s="42">
        <f t="shared" si="42"/>
        <v>0</v>
      </c>
      <c r="L65" s="42">
        <f t="shared" si="42"/>
        <v>0</v>
      </c>
      <c r="M65" s="42">
        <f t="shared" si="42"/>
        <v>0</v>
      </c>
      <c r="N65" s="56">
        <f t="shared" si="42"/>
        <v>0</v>
      </c>
    </row>
    <row r="66" spans="1:14" x14ac:dyDescent="0.25">
      <c r="A66" s="35"/>
      <c r="B66" s="53" t="s">
        <v>83</v>
      </c>
      <c r="C66" s="53">
        <f>0.1*C5/C4+0.149</f>
        <v>0.16643404365847386</v>
      </c>
      <c r="D66" s="53" t="s">
        <v>84</v>
      </c>
      <c r="E66" s="53">
        <f>0.625*C5/C4+0.08</f>
        <v>0.18896277286546165</v>
      </c>
      <c r="F66" s="53"/>
      <c r="G66" s="53"/>
      <c r="H66" s="53"/>
      <c r="I66" s="53"/>
      <c r="J66" s="53"/>
      <c r="K66" s="53"/>
      <c r="L66" s="53"/>
      <c r="M66" s="53"/>
      <c r="N66" s="58"/>
    </row>
    <row r="67" spans="1:14" x14ac:dyDescent="0.25">
      <c r="A67" s="35"/>
      <c r="B67" s="53" t="s">
        <v>85</v>
      </c>
      <c r="C67" s="53">
        <f>0.05*C5/C4+0.449</f>
        <v>0.45771702182923696</v>
      </c>
      <c r="D67" s="53" t="s">
        <v>86</v>
      </c>
      <c r="E67" s="53">
        <f>0.165-0.25*C5/C4</f>
        <v>0.12141489085381535</v>
      </c>
      <c r="F67" s="53"/>
      <c r="G67" s="53"/>
      <c r="H67" s="53"/>
      <c r="I67" s="53"/>
      <c r="J67" s="53"/>
      <c r="K67" s="53"/>
      <c r="L67" s="53"/>
      <c r="M67" s="53"/>
      <c r="N67" s="58"/>
    </row>
    <row r="68" spans="1:14" x14ac:dyDescent="0.25">
      <c r="A68" s="35"/>
      <c r="B68" s="53" t="s">
        <v>87</v>
      </c>
      <c r="C68" s="53">
        <f>585-5027*C5/C4+11700*(C5/C4)^2</f>
        <v>64.207302882638999</v>
      </c>
      <c r="D68" s="53" t="s">
        <v>88</v>
      </c>
      <c r="E68" s="53">
        <f>825-8060*C5/C4+20300*(C5/C4)^2</f>
        <v>36.826214046719201</v>
      </c>
      <c r="F68" s="53"/>
      <c r="G68" s="53"/>
      <c r="H68" s="53"/>
      <c r="I68" s="53"/>
      <c r="J68" s="53"/>
      <c r="K68" s="53"/>
      <c r="L68" s="53"/>
      <c r="M68" s="53"/>
      <c r="N68" s="58"/>
    </row>
    <row r="69" spans="1:14" x14ac:dyDescent="0.25">
      <c r="A69" s="35"/>
      <c r="B69" s="53" t="s">
        <v>89</v>
      </c>
      <c r="C69" s="42">
        <f>C66+C67/(C68*(0.98-C11)^3+1)</f>
        <v>0.46353003608670068</v>
      </c>
      <c r="D69" s="42" t="s">
        <v>90</v>
      </c>
      <c r="E69" s="42">
        <f>E66+E67/(E68*(0.98-C11)^3+1)</f>
        <v>0.28164000857589228</v>
      </c>
      <c r="F69" s="42"/>
      <c r="G69" s="42"/>
      <c r="H69" s="53"/>
      <c r="I69" s="53"/>
      <c r="J69" s="53"/>
      <c r="K69" s="53"/>
      <c r="L69" s="53"/>
      <c r="M69" s="53"/>
      <c r="N69" s="58"/>
    </row>
    <row r="70" spans="1:14" x14ac:dyDescent="0.25">
      <c r="A70" s="35"/>
      <c r="B70" s="53" t="s">
        <v>91</v>
      </c>
      <c r="C70" s="42">
        <f>0.025*C15/(100*(C11-0.7)^2+1)</f>
        <v>0</v>
      </c>
      <c r="D70" s="42" t="s">
        <v>92</v>
      </c>
      <c r="E70" s="42">
        <f>-0.01*C15</f>
        <v>0</v>
      </c>
      <c r="F70" s="42"/>
      <c r="G70" s="42"/>
      <c r="H70" s="53"/>
      <c r="I70" s="53"/>
      <c r="J70" s="53"/>
      <c r="K70" s="53"/>
      <c r="L70" s="53"/>
      <c r="M70" s="53"/>
      <c r="N70" s="58"/>
    </row>
    <row r="71" spans="1:14" x14ac:dyDescent="0.25">
      <c r="A71" s="35"/>
      <c r="B71" s="53" t="s">
        <v>93</v>
      </c>
      <c r="C71" s="42">
        <f>0.00756/(C18/C4+0.002)-0.18</f>
        <v>-1.6686165081056942E-2</v>
      </c>
      <c r="D71" s="42" t="s">
        <v>94</v>
      </c>
      <c r="E71" s="42">
        <f>2*(C18/C4-0.04)</f>
        <v>8.5824808872099062E-3</v>
      </c>
      <c r="F71" s="42"/>
      <c r="G71" s="42"/>
      <c r="H71" s="53"/>
      <c r="I71" s="53"/>
      <c r="J71" s="53"/>
      <c r="K71" s="53"/>
      <c r="L71" s="53"/>
      <c r="M71" s="53"/>
      <c r="N71" s="58"/>
    </row>
    <row r="72" spans="1:14" x14ac:dyDescent="0.25">
      <c r="A72" s="35"/>
      <c r="B72" s="53" t="s">
        <v>93</v>
      </c>
      <c r="C72" s="42">
        <f>MIN(0.1,C71)</f>
        <v>-1.6686165081056942E-2</v>
      </c>
      <c r="D72" s="42"/>
      <c r="E72" s="42"/>
      <c r="F72" s="42"/>
      <c r="G72" s="42"/>
      <c r="H72" s="53"/>
      <c r="I72" s="53"/>
      <c r="J72" s="53"/>
      <c r="K72" s="53"/>
      <c r="L72" s="53"/>
      <c r="M72" s="53"/>
      <c r="N72" s="58"/>
    </row>
    <row r="73" spans="1:14" x14ac:dyDescent="0.25">
      <c r="A73" s="35"/>
      <c r="B73" s="53" t="s">
        <v>95</v>
      </c>
      <c r="C73" s="76">
        <f>C69+C70+C72</f>
        <v>0.44684387100564371</v>
      </c>
      <c r="D73" s="42" t="s">
        <v>96</v>
      </c>
      <c r="E73" s="76">
        <f>E69+E70+E71</f>
        <v>0.2902224894631022</v>
      </c>
      <c r="F73" s="42" t="s">
        <v>97</v>
      </c>
      <c r="G73" s="76">
        <f>0.7*C11-0.2</f>
        <v>0.34359067277204663</v>
      </c>
      <c r="H73" s="53"/>
      <c r="I73" s="53"/>
      <c r="J73" s="53"/>
      <c r="K73" s="53"/>
      <c r="L73" s="53"/>
      <c r="M73" s="53"/>
      <c r="N73" s="58"/>
    </row>
    <row r="74" spans="1:14" x14ac:dyDescent="0.25">
      <c r="A74" s="35"/>
      <c r="B74" s="53" t="s">
        <v>98</v>
      </c>
      <c r="C74" s="76">
        <f>1.133*C11^2-0.797*C11+0.215</f>
        <v>0.27933033098374571</v>
      </c>
      <c r="D74" s="42" t="s">
        <v>99</v>
      </c>
      <c r="E74" s="76">
        <f>0.0665+0.62833*C74</f>
        <v>0.24201162686701697</v>
      </c>
      <c r="F74" s="42" t="s">
        <v>100</v>
      </c>
      <c r="G74" s="76">
        <f>0.2*C11+0.06</f>
        <v>0.21531162079201335</v>
      </c>
      <c r="H74" s="53"/>
      <c r="I74" s="53"/>
      <c r="J74" s="53"/>
      <c r="K74" s="53"/>
      <c r="L74" s="53"/>
      <c r="M74" s="53"/>
      <c r="N74" s="58"/>
    </row>
    <row r="75" spans="1:14" x14ac:dyDescent="0.25">
      <c r="A75" s="22" t="s">
        <v>101</v>
      </c>
      <c r="B75" s="53" t="s">
        <v>102</v>
      </c>
      <c r="C75" s="53">
        <f t="shared" ref="C75:N75" si="43">IF(C22&gt;$J9,0,IF($C17=1,0.2,0.1))</f>
        <v>0.2</v>
      </c>
      <c r="D75" s="53">
        <f t="shared" si="43"/>
        <v>0.2</v>
      </c>
      <c r="E75" s="53">
        <f t="shared" si="43"/>
        <v>0.2</v>
      </c>
      <c r="F75" s="53">
        <f t="shared" si="43"/>
        <v>0.2</v>
      </c>
      <c r="G75" s="53">
        <f t="shared" si="43"/>
        <v>0.2</v>
      </c>
      <c r="H75" s="53">
        <f t="shared" si="43"/>
        <v>0.2</v>
      </c>
      <c r="I75" s="53">
        <f t="shared" si="43"/>
        <v>0.2</v>
      </c>
      <c r="J75" s="53">
        <f t="shared" si="43"/>
        <v>0.2</v>
      </c>
      <c r="K75" s="53">
        <f t="shared" si="43"/>
        <v>0.2</v>
      </c>
      <c r="L75" s="53">
        <f t="shared" si="43"/>
        <v>0.2</v>
      </c>
      <c r="M75" s="53">
        <f t="shared" si="43"/>
        <v>0.2</v>
      </c>
      <c r="N75" s="53">
        <f t="shared" si="43"/>
        <v>0.2</v>
      </c>
    </row>
    <row r="76" spans="1:14" x14ac:dyDescent="0.25">
      <c r="A76" s="22"/>
      <c r="B76" s="59" t="s">
        <v>123</v>
      </c>
      <c r="C76" s="67">
        <f t="shared" ref="C76:N76" si="44">C22</f>
        <v>0.12</v>
      </c>
      <c r="D76" s="67">
        <f t="shared" si="44"/>
        <v>0.19069812061401845</v>
      </c>
      <c r="E76" s="67">
        <f t="shared" si="44"/>
        <v>0.200555877516121</v>
      </c>
      <c r="F76" s="67">
        <f t="shared" si="44"/>
        <v>0.21041363441822353</v>
      </c>
      <c r="G76" s="67">
        <f t="shared" si="44"/>
        <v>0.22027139132032608</v>
      </c>
      <c r="H76" s="67">
        <f t="shared" si="44"/>
        <v>0.23012914822242861</v>
      </c>
      <c r="I76" s="67">
        <f t="shared" si="44"/>
        <v>0.23998690512453114</v>
      </c>
      <c r="J76" s="67">
        <f t="shared" si="44"/>
        <v>0.24984466202663369</v>
      </c>
      <c r="K76" s="67">
        <f t="shared" si="44"/>
        <v>0.25970241892873619</v>
      </c>
      <c r="L76" s="67">
        <f t="shared" si="44"/>
        <v>0.26956017583083874</v>
      </c>
      <c r="M76" s="67">
        <f t="shared" si="44"/>
        <v>0.27941793273294124</v>
      </c>
      <c r="N76" s="67">
        <f t="shared" si="44"/>
        <v>0.32</v>
      </c>
    </row>
    <row r="77" spans="1:14" x14ac:dyDescent="0.25">
      <c r="A77" s="22"/>
      <c r="B77" s="59" t="s">
        <v>103</v>
      </c>
      <c r="C77" s="49">
        <f t="shared" ref="C77:N77" si="45">C22^2</f>
        <v>1.44E-2</v>
      </c>
      <c r="D77" s="49">
        <f t="shared" si="45"/>
        <v>3.6365773205718724E-2</v>
      </c>
      <c r="E77" s="49">
        <f t="shared" si="45"/>
        <v>4.0222660006261332E-2</v>
      </c>
      <c r="F77" s="49">
        <f t="shared" si="45"/>
        <v>4.4273897549085818E-2</v>
      </c>
      <c r="G77" s="49">
        <f t="shared" si="45"/>
        <v>4.8519485834192223E-2</v>
      </c>
      <c r="H77" s="49">
        <f t="shared" si="45"/>
        <v>5.2959424861580513E-2</v>
      </c>
      <c r="I77" s="49">
        <f t="shared" si="45"/>
        <v>5.7593714631250709E-2</v>
      </c>
      <c r="J77" s="49">
        <f t="shared" si="45"/>
        <v>6.2422355143202816E-2</v>
      </c>
      <c r="K77" s="49">
        <f t="shared" si="45"/>
        <v>6.7445346397436795E-2</v>
      </c>
      <c r="L77" s="49">
        <f t="shared" si="45"/>
        <v>7.2662688393952707E-2</v>
      </c>
      <c r="M77" s="49">
        <f t="shared" si="45"/>
        <v>7.8074381132750476E-2</v>
      </c>
      <c r="N77" s="49">
        <f t="shared" si="45"/>
        <v>0.1024</v>
      </c>
    </row>
    <row r="78" spans="1:14" x14ac:dyDescent="0.25">
      <c r="A78" s="22"/>
      <c r="B78" s="59" t="s">
        <v>104</v>
      </c>
      <c r="C78" s="49">
        <f t="shared" ref="C78:N78" si="46">C22^3</f>
        <v>1.7279999999999999E-3</v>
      </c>
      <c r="D78" s="49">
        <f t="shared" si="46"/>
        <v>6.9348846050061898E-3</v>
      </c>
      <c r="E78" s="49">
        <f t="shared" si="46"/>
        <v>8.0668908735883268E-3</v>
      </c>
      <c r="F78" s="49">
        <f t="shared" si="46"/>
        <v>9.3158316931632266E-3</v>
      </c>
      <c r="G78" s="49">
        <f t="shared" si="46"/>
        <v>1.0687454650844374E-2</v>
      </c>
      <c r="H78" s="49">
        <f t="shared" si="46"/>
        <v>1.2187507333745233E-2</v>
      </c>
      <c r="I78" s="49">
        <f t="shared" si="46"/>
        <v>1.3821737328979285E-2</v>
      </c>
      <c r="J78" s="49">
        <f t="shared" si="46"/>
        <v>1.5595892223660007E-2</v>
      </c>
      <c r="K78" s="49">
        <f t="shared" si="46"/>
        <v>1.7515719604900858E-2</v>
      </c>
      <c r="L78" s="49">
        <f t="shared" si="46"/>
        <v>1.9586967059815337E-2</v>
      </c>
      <c r="M78" s="49">
        <f t="shared" si="46"/>
        <v>2.181538217551689E-2</v>
      </c>
      <c r="N78" s="49">
        <f t="shared" si="46"/>
        <v>3.2768000000000005E-2</v>
      </c>
    </row>
    <row r="79" spans="1:14" x14ac:dyDescent="0.25">
      <c r="A79" s="22"/>
      <c r="B79" s="59" t="s">
        <v>105</v>
      </c>
      <c r="C79" s="49">
        <f t="shared" ref="C79:N79" si="47">C22^4</f>
        <v>2.0735999999999999E-4</v>
      </c>
      <c r="D79" s="49">
        <f t="shared" si="47"/>
        <v>1.32246946084977E-3</v>
      </c>
      <c r="E79" s="49">
        <f t="shared" si="47"/>
        <v>1.6178623779792949E-3</v>
      </c>
      <c r="F79" s="49">
        <f t="shared" si="47"/>
        <v>1.9601780041869472E-3</v>
      </c>
      <c r="G79" s="49">
        <f t="shared" si="47"/>
        <v>2.35414050561438E-3</v>
      </c>
      <c r="H79" s="49">
        <f t="shared" si="47"/>
        <v>2.8047006816693922E-3</v>
      </c>
      <c r="I79" s="49">
        <f t="shared" si="47"/>
        <v>3.3170359650259418E-3</v>
      </c>
      <c r="J79" s="49">
        <f t="shared" si="47"/>
        <v>3.8965504216241392E-3</v>
      </c>
      <c r="K79" s="49">
        <f t="shared" si="47"/>
        <v>4.5488747506702409E-3</v>
      </c>
      <c r="L79" s="49">
        <f t="shared" si="47"/>
        <v>5.2798662846366695E-3</v>
      </c>
      <c r="M79" s="49">
        <f t="shared" si="47"/>
        <v>6.0956089892619837E-3</v>
      </c>
      <c r="N79" s="49">
        <f t="shared" si="47"/>
        <v>1.048576E-2</v>
      </c>
    </row>
    <row r="80" spans="1:14" x14ac:dyDescent="0.25">
      <c r="A80" s="22"/>
      <c r="B80" s="59" t="s">
        <v>106</v>
      </c>
      <c r="C80" s="49">
        <f t="shared" ref="C80:N80" si="48">C22^5</f>
        <v>2.4883199999999999E-5</v>
      </c>
      <c r="D80" s="49">
        <f t="shared" si="48"/>
        <v>2.521924407534854E-4</v>
      </c>
      <c r="E80" s="49">
        <f t="shared" si="48"/>
        <v>3.2447180891595571E-4</v>
      </c>
      <c r="F80" s="49">
        <f t="shared" si="48"/>
        <v>4.124481779676353E-4</v>
      </c>
      <c r="G80" s="49">
        <f t="shared" si="48"/>
        <v>5.1854980453521545E-4</v>
      </c>
      <c r="H80" s="49">
        <f t="shared" si="48"/>
        <v>6.4544337889144209E-4</v>
      </c>
      <c r="I80" s="49">
        <f t="shared" si="48"/>
        <v>7.9604519543333824E-4</v>
      </c>
      <c r="J80" s="49">
        <f t="shared" si="48"/>
        <v>9.7353232316042002E-4</v>
      </c>
      <c r="K80" s="49">
        <f t="shared" si="48"/>
        <v>1.1813537761529132E-3</v>
      </c>
      <c r="L80" s="49">
        <f t="shared" si="48"/>
        <v>1.4232416840499779E-3</v>
      </c>
      <c r="M80" s="49">
        <f t="shared" si="48"/>
        <v>1.7032224625279169E-3</v>
      </c>
      <c r="N80" s="49">
        <f t="shared" si="48"/>
        <v>3.3554432000000001E-3</v>
      </c>
    </row>
    <row r="81" spans="1:14" x14ac:dyDescent="0.25">
      <c r="A81" s="22"/>
      <c r="B81" s="59" t="s">
        <v>204</v>
      </c>
      <c r="C81" s="49">
        <f t="shared" ref="C81:N81" si="49">C22^6</f>
        <v>2.9859839999999999E-6</v>
      </c>
      <c r="D81" s="49">
        <f t="shared" si="49"/>
        <v>4.8092624484751853E-5</v>
      </c>
      <c r="E81" s="49">
        <f t="shared" si="49"/>
        <v>6.5074728366382636E-5</v>
      </c>
      <c r="F81" s="49">
        <f t="shared" si="49"/>
        <v>8.678472013534441E-5</v>
      </c>
      <c r="G81" s="49">
        <f t="shared" si="49"/>
        <v>1.1422168691385502E-4</v>
      </c>
      <c r="H81" s="49">
        <f t="shared" si="49"/>
        <v>1.4853533501009382E-4</v>
      </c>
      <c r="I81" s="49">
        <f t="shared" si="49"/>
        <v>1.9104042279129941E-4</v>
      </c>
      <c r="J81" s="49">
        <f t="shared" si="49"/>
        <v>2.4323185425201868E-4</v>
      </c>
      <c r="K81" s="49">
        <f t="shared" si="49"/>
        <v>3.068004332775083E-4</v>
      </c>
      <c r="L81" s="49">
        <f t="shared" si="49"/>
        <v>3.836492786022911E-4</v>
      </c>
      <c r="M81" s="49">
        <f t="shared" si="49"/>
        <v>4.7591089946386002E-4</v>
      </c>
      <c r="N81" s="49">
        <f t="shared" si="49"/>
        <v>1.073741824E-3</v>
      </c>
    </row>
    <row r="82" spans="1:14" x14ac:dyDescent="0.25">
      <c r="A82" s="75" t="s">
        <v>205</v>
      </c>
      <c r="B82" s="73" t="s">
        <v>210</v>
      </c>
      <c r="C82" s="77">
        <f xml:space="preserve"> 81963.95967*C80 - 69372.12684*C79 + 23700.28578*C78 - 4016.65661*C77 + 339.10948*C76 - 10.91</f>
        <v>0.55189762355814054</v>
      </c>
      <c r="D82" s="77">
        <f xml:space="preserve"> 81963.95967*D80 - 69372.12684*D79 + 23700.28578*D78 - 4016.65661*D77 + 339.10948*D76 - 10.91</f>
        <v>0.97563604675603344</v>
      </c>
      <c r="E82" s="77">
        <f t="shared" ref="E82:N82" si="50" xml:space="preserve"> 81963.95967*E80 - 69372.12684*E79 + 23700.28578*E78 - 4016.65661*E77 + 339.10948*E76 - 10.91</f>
        <v>1.087845374816137</v>
      </c>
      <c r="F82" s="77">
        <f t="shared" si="50"/>
        <v>1.2222570072945409</v>
      </c>
      <c r="G82" s="77">
        <f t="shared" si="50"/>
        <v>1.3863944767527805</v>
      </c>
      <c r="H82" s="77">
        <f t="shared" si="50"/>
        <v>1.5916022498159741</v>
      </c>
      <c r="I82" s="77">
        <f t="shared" si="50"/>
        <v>1.8539613037990925</v>
      </c>
      <c r="J82" s="77">
        <f t="shared" si="50"/>
        <v>2.1952047033330579</v>
      </c>
      <c r="K82" s="76">
        <f t="shared" si="50"/>
        <v>2.6436331769910133</v>
      </c>
      <c r="L82" s="77">
        <f t="shared" si="50"/>
        <v>3.2350306939143785</v>
      </c>
      <c r="M82" s="77">
        <f t="shared" si="50"/>
        <v>4.0135800404393187</v>
      </c>
      <c r="N82" s="77">
        <f t="shared" si="50"/>
        <v>10.516299561017544</v>
      </c>
    </row>
    <row r="83" spans="1:14" x14ac:dyDescent="0.25">
      <c r="A83" s="75" t="s">
        <v>132</v>
      </c>
      <c r="B83" s="73" t="s">
        <v>107</v>
      </c>
      <c r="C83" s="77">
        <f t="shared" ref="C83:N83" si="51" xml:space="preserve"> 211855.99746*C80 - 178462.85551*C79 + 59866.35075*C78 - 9901.7271*C77 + 808.21686*C76 - 25.47</f>
        <v>0.64580449344308022</v>
      </c>
      <c r="D83" s="77">
        <f t="shared" si="51"/>
        <v>1.1545131408015266</v>
      </c>
      <c r="E83" s="77">
        <f t="shared" si="51"/>
        <v>1.2971163919089577</v>
      </c>
      <c r="F83" s="77">
        <f t="shared" si="51"/>
        <v>1.4672996059516947</v>
      </c>
      <c r="G83" s="77">
        <f t="shared" si="51"/>
        <v>1.6805023992246504</v>
      </c>
      <c r="H83" s="77">
        <f t="shared" si="51"/>
        <v>1.9622323661057521</v>
      </c>
      <c r="I83" s="77">
        <f t="shared" si="51"/>
        <v>2.3504316118592783</v>
      </c>
      <c r="J83" s="77">
        <f t="shared" si="51"/>
        <v>2.8978432854424909</v>
      </c>
      <c r="K83" s="76">
        <f t="shared" si="51"/>
        <v>3.6743781123092276</v>
      </c>
      <c r="L83" s="77">
        <f t="shared" si="51"/>
        <v>4.7694809272164775</v>
      </c>
      <c r="M83" s="77">
        <f t="shared" si="51"/>
        <v>6.2944972070279732</v>
      </c>
      <c r="N83" s="77">
        <f t="shared" si="51"/>
        <v>20.475215799836889</v>
      </c>
    </row>
    <row r="84" spans="1:14" x14ac:dyDescent="0.25">
      <c r="A84" s="75" t="s">
        <v>133</v>
      </c>
      <c r="B84" s="73" t="s">
        <v>108</v>
      </c>
      <c r="C84" s="77">
        <f t="shared" ref="C84:N84" si="52" xml:space="preserve"> 189330.79305*C80 - 133987.07846*C79 + 36767.07838*C78 - 4746.53331*C77 + 281.6148*C76 - 5.18</f>
        <v>0.72480317679617201</v>
      </c>
      <c r="D84" s="77">
        <f t="shared" si="52"/>
        <v>1.4414804580017062</v>
      </c>
      <c r="E84" s="77">
        <f t="shared" si="52"/>
        <v>1.6371683597634004</v>
      </c>
      <c r="F84" s="77">
        <f t="shared" si="52"/>
        <v>1.8945947151956446</v>
      </c>
      <c r="G84" s="77">
        <f t="shared" si="52"/>
        <v>2.2518480435762882</v>
      </c>
      <c r="H84" s="77">
        <f t="shared" si="52"/>
        <v>2.7617937662673953</v>
      </c>
      <c r="I84" s="77">
        <f t="shared" si="52"/>
        <v>3.4941891222147134</v>
      </c>
      <c r="J84" s="77">
        <f t="shared" si="52"/>
        <v>4.5377980834476759</v>
      </c>
      <c r="K84" s="76">
        <f t="shared" si="52"/>
        <v>6.0025062705793104</v>
      </c>
      <c r="L84" s="77">
        <f t="shared" si="52"/>
        <v>8.0214358683059643</v>
      </c>
      <c r="M84" s="77">
        <f t="shared" si="52"/>
        <v>10.753060540907192</v>
      </c>
      <c r="N84" s="77">
        <f t="shared" si="52"/>
        <v>34.007723669340471</v>
      </c>
    </row>
    <row r="85" spans="1:14" x14ac:dyDescent="0.25">
      <c r="A85" s="75" t="s">
        <v>134</v>
      </c>
      <c r="B85" s="73" t="s">
        <v>109</v>
      </c>
      <c r="C85" s="77">
        <f t="shared" ref="C85:N85" si="53" xml:space="preserve"> -183277.76453*C80 + 217604.57034*C79 - 91711.5592*C78 + 18157.61937*C77 - 1715.03079*C76 + 63.08</f>
        <v>0.83039626574954184</v>
      </c>
      <c r="D85" s="77">
        <f t="shared" si="53"/>
        <v>1.8877715631385428</v>
      </c>
      <c r="E85" s="77">
        <f t="shared" si="53"/>
        <v>2.2268853122767069</v>
      </c>
      <c r="F85" s="77">
        <f t="shared" si="53"/>
        <v>2.7043805834831716</v>
      </c>
      <c r="G85" s="77">
        <f t="shared" si="53"/>
        <v>3.3760918981669903</v>
      </c>
      <c r="H85" s="77">
        <f t="shared" si="53"/>
        <v>4.303470626604863</v>
      </c>
      <c r="I85" s="77">
        <f t="shared" si="53"/>
        <v>5.5515376876649754</v>
      </c>
      <c r="J85" s="77">
        <f t="shared" si="53"/>
        <v>7.1868362485309518</v>
      </c>
      <c r="K85" s="76">
        <f t="shared" si="53"/>
        <v>9.275384424423649</v>
      </c>
      <c r="L85" s="77">
        <f t="shared" si="53"/>
        <v>11.880627978325563</v>
      </c>
      <c r="M85" s="77">
        <f t="shared" si="53"/>
        <v>15.061393020704841</v>
      </c>
      <c r="N85" s="77">
        <f t="shared" si="53"/>
        <v>35.17716960736864</v>
      </c>
    </row>
    <row r="86" spans="1:14" x14ac:dyDescent="0.25">
      <c r="A86" s="75" t="s">
        <v>206</v>
      </c>
      <c r="B86" s="73" t="s">
        <v>211</v>
      </c>
      <c r="C86" s="77">
        <f xml:space="preserve"> 108656.82305*C80 - 92884.66951*C79 + 31771.52118*C78 - 5373.60627*C77 + 450.34486*C76 - 14.5</f>
        <v>0.50580590076415888</v>
      </c>
      <c r="D86" s="77">
        <f xml:space="preserve"> 108656.82305*D80 - 92884.66951*D79 + 31771.52118*D78 - 5373.60627*D77 + 450.34486*D76 - 14.5</f>
        <v>0.86169522874551774</v>
      </c>
      <c r="E86" s="77">
        <f t="shared" ref="E86:N86" si="54" xml:space="preserve"> 108656.82305*E80 - 92884.66951*E79 + 31771.52118*E78 - 5373.60627*E77 + 450.34486*E76 - 14.5</f>
        <v>0.95742845823563982</v>
      </c>
      <c r="F86" s="77">
        <f t="shared" si="54"/>
        <v>1.0711718067598213</v>
      </c>
      <c r="G86" s="77">
        <f t="shared" si="54"/>
        <v>1.2105788998564577</v>
      </c>
      <c r="H86" s="77">
        <f t="shared" si="54"/>
        <v>1.3881600495262205</v>
      </c>
      <c r="I86" s="77">
        <f t="shared" si="54"/>
        <v>1.6224960029069848</v>
      </c>
      <c r="J86" s="77">
        <f t="shared" si="54"/>
        <v>1.9394516909492836</v>
      </c>
      <c r="K86" s="76">
        <f t="shared" si="54"/>
        <v>2.3733899770909801</v>
      </c>
      <c r="L86" s="77">
        <f t="shared" si="54"/>
        <v>2.9683854059330059</v>
      </c>
      <c r="M86" s="77">
        <f t="shared" si="54"/>
        <v>3.7794379519140904</v>
      </c>
      <c r="N86" s="77">
        <f t="shared" si="54"/>
        <v>11.067725053788109</v>
      </c>
    </row>
    <row r="87" spans="1:14" x14ac:dyDescent="0.25">
      <c r="A87" s="75" t="s">
        <v>135</v>
      </c>
      <c r="B87" s="73" t="s">
        <v>110</v>
      </c>
      <c r="C87" s="77">
        <f t="shared" ref="C87:N87" si="55" xml:space="preserve"> 236068.11145*C80 - 206198.08468*C79 + 71647.62804*C78 - 12274.26804*C77 + 1036.91016*C76 - 34.06</f>
        <v>0.54375586870779102</v>
      </c>
      <c r="D87" s="77">
        <f t="shared" si="55"/>
        <v>1.0255269641717177</v>
      </c>
      <c r="E87" s="77">
        <f t="shared" si="55"/>
        <v>1.1656371300628621</v>
      </c>
      <c r="F87" s="77">
        <f t="shared" si="55"/>
        <v>1.3285060214050475</v>
      </c>
      <c r="G87" s="77">
        <f t="shared" si="55"/>
        <v>1.5250545676922229</v>
      </c>
      <c r="H87" s="77">
        <f t="shared" si="55"/>
        <v>1.7757589335439832</v>
      </c>
      <c r="I87" s="77">
        <f t="shared" si="55"/>
        <v>2.1132875124019961</v>
      </c>
      <c r="J87" s="77">
        <f t="shared" si="55"/>
        <v>2.5851379202268276</v>
      </c>
      <c r="K87" s="76">
        <f t="shared" si="55"/>
        <v>3.2562739891955061</v>
      </c>
      <c r="L87" s="77">
        <f t="shared" si="55"/>
        <v>4.2117627613987452</v>
      </c>
      <c r="M87" s="77">
        <f t="shared" si="55"/>
        <v>5.5594114825370866</v>
      </c>
      <c r="N87" s="77">
        <f t="shared" si="55"/>
        <v>18.585190406308016</v>
      </c>
    </row>
    <row r="88" spans="1:14" x14ac:dyDescent="0.25">
      <c r="A88" s="75" t="s">
        <v>136</v>
      </c>
      <c r="B88" s="73" t="s">
        <v>111</v>
      </c>
      <c r="C88" s="77">
        <f t="shared" ref="C88:N88" si="56" xml:space="preserve"> 153905.69184*C80 - 114943.493048*C79 + 33802.921153*C78 - 4780.049092*C77 + 322.837994*C76 - 7.67</f>
        <v>0.64428350034379811</v>
      </c>
      <c r="D88" s="77">
        <f t="shared" si="56"/>
        <v>1.2883678265093668</v>
      </c>
      <c r="E88" s="77">
        <f t="shared" si="56"/>
        <v>1.4705491291241106</v>
      </c>
      <c r="F88" s="77">
        <f t="shared" si="56"/>
        <v>1.6988514467864793</v>
      </c>
      <c r="G88" s="77">
        <f t="shared" si="56"/>
        <v>1.9982703715486299</v>
      </c>
      <c r="H88" s="77">
        <f t="shared" si="56"/>
        <v>2.4044477714647758</v>
      </c>
      <c r="I88" s="77">
        <f t="shared" si="56"/>
        <v>2.9653909907691247</v>
      </c>
      <c r="J88" s="77">
        <f t="shared" si="56"/>
        <v>3.7431920500545335</v>
      </c>
      <c r="K88" s="76">
        <f t="shared" si="56"/>
        <v>4.8157468464505957</v>
      </c>
      <c r="L88" s="77">
        <f t="shared" si="56"/>
        <v>6.2784743538027232</v>
      </c>
      <c r="M88" s="77">
        <f t="shared" si="56"/>
        <v>8.2460358228493238</v>
      </c>
      <c r="N88" s="77">
        <f t="shared" si="56"/>
        <v>24.967176863531179</v>
      </c>
    </row>
    <row r="89" spans="1:14" x14ac:dyDescent="0.25">
      <c r="A89" s="75" t="s">
        <v>137</v>
      </c>
      <c r="B89" s="73" t="s">
        <v>112</v>
      </c>
      <c r="C89" s="77">
        <f t="shared" ref="C89:N89" si="57">-9980220.15991*C81 + 10826099.46985*C80 - 4792166.95182*C79 + 1110018.19846*C78 - 141933.11234*C77 + 9505.46225*C76 - 260.06</f>
        <v>0.75358072768784723</v>
      </c>
      <c r="D89" s="77">
        <f t="shared" si="57"/>
        <v>1.7455523215252811</v>
      </c>
      <c r="E89" s="77">
        <f t="shared" si="57"/>
        <v>2.0220183348944261</v>
      </c>
      <c r="F89" s="77">
        <f t="shared" si="57"/>
        <v>2.4036335052211939</v>
      </c>
      <c r="G89" s="77">
        <f t="shared" si="57"/>
        <v>2.9487696069926983</v>
      </c>
      <c r="H89" s="77">
        <f t="shared" si="57"/>
        <v>3.7078276993988197</v>
      </c>
      <c r="I89" s="77">
        <f t="shared" si="57"/>
        <v>4.7001275836386753</v>
      </c>
      <c r="J89" s="77">
        <f t="shared" si="57"/>
        <v>5.8842033770887952</v>
      </c>
      <c r="K89" s="76">
        <f t="shared" si="57"/>
        <v>7.1215052043993978</v>
      </c>
      <c r="L89" s="77">
        <f t="shared" si="57"/>
        <v>8.1335070055569645</v>
      </c>
      <c r="M89" s="77">
        <f t="shared" si="57"/>
        <v>8.4522204608001061</v>
      </c>
      <c r="N89" s="77">
        <f t="shared" si="57"/>
        <v>-18.516942986341803</v>
      </c>
    </row>
    <row r="90" spans="1:14" x14ac:dyDescent="0.25">
      <c r="A90" s="75" t="s">
        <v>207</v>
      </c>
      <c r="B90" s="73" t="s">
        <v>212</v>
      </c>
      <c r="C90" s="77">
        <f xml:space="preserve"> 12205.28697*C80 - 8294.72385*C79 + 2539.32664*C78 - 405.17899*C77 + 34.1222*C76 - 0.78</f>
        <v>0.45175563711590416</v>
      </c>
      <c r="D90" s="77">
        <f t="shared" ref="D90:N90" si="58" xml:space="preserve"> 12205.28697*D80 - 8294.72385*D79 + 2539.32664*D78 - 405.17899*D77 + 34.1222*D76 - 0.78</f>
        <v>0.71089150922536626</v>
      </c>
      <c r="E90" s="77">
        <f t="shared" si="58"/>
        <v>0.7910517934576069</v>
      </c>
      <c r="F90" s="77">
        <f t="shared" si="58"/>
        <v>0.89177574702287843</v>
      </c>
      <c r="G90" s="77">
        <f t="shared" si="58"/>
        <v>1.0181102863931939</v>
      </c>
      <c r="H90" s="77">
        <f t="shared" si="58"/>
        <v>1.1761326187560395</v>
      </c>
      <c r="I90" s="77">
        <f t="shared" si="58"/>
        <v>1.3730865809066171</v>
      </c>
      <c r="J90" s="77">
        <f t="shared" si="58"/>
        <v>1.6175189781400754</v>
      </c>
      <c r="K90" s="76">
        <f t="shared" si="58"/>
        <v>1.9194159231437713</v>
      </c>
      <c r="L90" s="77">
        <f t="shared" si="58"/>
        <v>2.2903391748895059</v>
      </c>
      <c r="M90" s="77">
        <f t="shared" si="58"/>
        <v>2.7435624775257983</v>
      </c>
      <c r="N90" s="77">
        <f t="shared" si="58"/>
        <v>5.8350943736791239</v>
      </c>
    </row>
    <row r="91" spans="1:14" x14ac:dyDescent="0.25">
      <c r="A91" s="75" t="s">
        <v>138</v>
      </c>
      <c r="B91" s="73" t="s">
        <v>113</v>
      </c>
      <c r="C91" s="77">
        <f t="shared" ref="C91:N91" si="59" xml:space="preserve"> 78193.22061*C80 - 62747.6239*C79 + 20041.29771*C78 - 3113.11297*C77 + 235.21739*C76 - 6.47</f>
        <v>0.49297273005874853</v>
      </c>
      <c r="D91" s="77">
        <f t="shared" si="59"/>
        <v>0.89676373873247339</v>
      </c>
      <c r="E91" s="77">
        <f t="shared" si="59"/>
        <v>1.0119828176615036</v>
      </c>
      <c r="F91" s="77">
        <f t="shared" si="59"/>
        <v>1.1487967809367055</v>
      </c>
      <c r="G91" s="77">
        <f t="shared" si="59"/>
        <v>1.315837738824384</v>
      </c>
      <c r="H91" s="77">
        <f t="shared" si="59"/>
        <v>1.5261609973303001</v>
      </c>
      <c r="I91" s="77">
        <f t="shared" si="59"/>
        <v>1.7981185138667461</v>
      </c>
      <c r="J91" s="77">
        <f t="shared" si="59"/>
        <v>2.1562323529207452</v>
      </c>
      <c r="K91" s="76">
        <f t="shared" si="59"/>
        <v>2.6320681417210769</v>
      </c>
      <c r="L91" s="77">
        <f t="shared" si="59"/>
        <v>3.2651085259066113</v>
      </c>
      <c r="M91" s="77">
        <f t="shared" si="59"/>
        <v>4.1036266251934128</v>
      </c>
      <c r="N91" s="77">
        <f t="shared" si="59"/>
        <v>11.146425629540445</v>
      </c>
    </row>
    <row r="92" spans="1:14" x14ac:dyDescent="0.25">
      <c r="A92" s="75" t="s">
        <v>139</v>
      </c>
      <c r="B92" s="73" t="s">
        <v>114</v>
      </c>
      <c r="C92" s="77">
        <f t="shared" ref="C92:N92" si="60" xml:space="preserve"> 112229.10217*C80 - 90275.82325*C79 + 29064.78003*C78 - 4576.65461*C77 + 352.54132*C76 - 10.15</f>
        <v>0.54809639383654307</v>
      </c>
      <c r="D92" s="77">
        <f t="shared" si="60"/>
        <v>1.1225910511845196</v>
      </c>
      <c r="E92" s="77">
        <f t="shared" si="60"/>
        <v>1.2927419328623753</v>
      </c>
      <c r="F92" s="77">
        <f t="shared" si="60"/>
        <v>1.4977677218398124</v>
      </c>
      <c r="G92" s="77">
        <f t="shared" si="60"/>
        <v>1.7507638467177795</v>
      </c>
      <c r="H92" s="77">
        <f t="shared" si="60"/>
        <v>2.0711254254436877</v>
      </c>
      <c r="I92" s="77">
        <f t="shared" si="60"/>
        <v>2.4858009180522824</v>
      </c>
      <c r="J92" s="77">
        <f t="shared" si="60"/>
        <v>3.0305457794071113</v>
      </c>
      <c r="K92" s="76">
        <f t="shared" si="60"/>
        <v>3.7511761119417084</v>
      </c>
      <c r="L92" s="77">
        <f t="shared" si="60"/>
        <v>4.7048223184011757</v>
      </c>
      <c r="M92" s="77">
        <f t="shared" si="60"/>
        <v>5.9611827545826994</v>
      </c>
      <c r="N92" s="77">
        <f t="shared" si="60"/>
        <v>16.376263675551918</v>
      </c>
    </row>
    <row r="93" spans="1:14" x14ac:dyDescent="0.25">
      <c r="A93" s="75" t="s">
        <v>140</v>
      </c>
      <c r="B93" s="73" t="s">
        <v>115</v>
      </c>
      <c r="C93" s="77">
        <f t="shared" ref="C93:N93" si="61" xml:space="preserve"> -6333849.33191*C81 + 7003086.05505*C80 - 3170231.50477*C79 + 753388.16765*C78 - 99065.81153*C77 + 6833.52117*C76 - 192.64</f>
        <v>0.65682139961882058</v>
      </c>
      <c r="D93" s="77">
        <f t="shared" si="61"/>
        <v>1.5343938695356201</v>
      </c>
      <c r="E93" s="77">
        <f t="shared" si="61"/>
        <v>1.8047076804729159</v>
      </c>
      <c r="F93" s="77">
        <f t="shared" si="61"/>
        <v>2.1444824813846708</v>
      </c>
      <c r="G93" s="77">
        <f t="shared" si="61"/>
        <v>2.5844048789548424</v>
      </c>
      <c r="H93" s="77">
        <f t="shared" si="61"/>
        <v>3.1524536708576534</v>
      </c>
      <c r="I93" s="77">
        <f t="shared" si="61"/>
        <v>3.8607120223729225</v>
      </c>
      <c r="J93" s="77">
        <f t="shared" si="61"/>
        <v>4.6879948994511551</v>
      </c>
      <c r="K93" s="76">
        <f t="shared" si="61"/>
        <v>5.5582917582315758</v>
      </c>
      <c r="L93" s="77">
        <f t="shared" si="61"/>
        <v>6.3150244910071933</v>
      </c>
      <c r="M93" s="77">
        <f t="shared" si="61"/>
        <v>6.6911206286437164</v>
      </c>
      <c r="N93" s="77">
        <f t="shared" si="61"/>
        <v>-7.9770043277518425</v>
      </c>
    </row>
    <row r="94" spans="1:14" x14ac:dyDescent="0.25">
      <c r="A94" s="75" t="s">
        <v>208</v>
      </c>
      <c r="B94" s="73" t="s">
        <v>213</v>
      </c>
      <c r="C94" s="77">
        <f xml:space="preserve"> 53881.87664*C80 - 47719.69516*C79 + 17198.62503*C78 - 3090.1397*C77 + 275.82793*C76 - 9.37</f>
        <v>0.39616149627084063</v>
      </c>
      <c r="D94" s="77">
        <f t="shared" ref="D94:N94" si="62" xml:space="preserve"> 53881.87664*D80 - 47719.69516*D79 + 17198.62503*D78 - 3090.1397*D77 + 275.82793*D76 - 9.37</f>
        <v>0.6057907595476717</v>
      </c>
      <c r="E94" s="77">
        <f t="shared" si="62"/>
        <v>0.67395580559207069</v>
      </c>
      <c r="F94" s="77">
        <f t="shared" si="62"/>
        <v>0.7593098950034527</v>
      </c>
      <c r="G94" s="77">
        <f t="shared" si="62"/>
        <v>0.86610687921854712</v>
      </c>
      <c r="H94" s="77">
        <f t="shared" si="62"/>
        <v>1.0006329916038847</v>
      </c>
      <c r="I94" s="77">
        <f t="shared" si="62"/>
        <v>1.1718087337850331</v>
      </c>
      <c r="J94" s="77">
        <f t="shared" si="62"/>
        <v>1.3917907619760737</v>
      </c>
      <c r="K94" s="76">
        <f t="shared" si="62"/>
        <v>1.6765737733087942</v>
      </c>
      <c r="L94" s="77">
        <f t="shared" si="62"/>
        <v>2.0465923921623723</v>
      </c>
      <c r="M94" s="77">
        <f t="shared" si="62"/>
        <v>2.5273230564924685</v>
      </c>
      <c r="N94" s="77">
        <f t="shared" si="62"/>
        <v>6.4494831570452842</v>
      </c>
    </row>
    <row r="95" spans="1:14" x14ac:dyDescent="0.25">
      <c r="A95" s="75" t="s">
        <v>148</v>
      </c>
      <c r="B95" s="73" t="s">
        <v>116</v>
      </c>
      <c r="C95" s="77">
        <f t="shared" ref="C95:N95" si="63" xml:space="preserve"> -13296.8167*C80 + 17338.63401*C79 - 7542.52455*C78 + 1552.59022*C77 - 152.78609*C76 + 6.19</f>
        <v>0.4439577446041616</v>
      </c>
      <c r="D95" s="77">
        <f t="shared" si="63"/>
        <v>0.78504353154790874</v>
      </c>
      <c r="E95" s="77">
        <f t="shared" si="63"/>
        <v>0.88951922254693638</v>
      </c>
      <c r="F95" s="77">
        <f t="shared" si="63"/>
        <v>1.0186157895562102</v>
      </c>
      <c r="G95" s="77">
        <f t="shared" si="63"/>
        <v>1.1786044201359642</v>
      </c>
      <c r="H95" s="77">
        <f t="shared" si="63"/>
        <v>1.3765154046159322</v>
      </c>
      <c r="I95" s="77">
        <f t="shared" si="63"/>
        <v>1.6199896042941857</v>
      </c>
      <c r="J95" s="77">
        <f t="shared" si="63"/>
        <v>1.9171299196357436</v>
      </c>
      <c r="K95" s="76">
        <f t="shared" si="63"/>
        <v>2.2763527584712007</v>
      </c>
      <c r="L95" s="77">
        <f t="shared" si="63"/>
        <v>2.7062395041954685</v>
      </c>
      <c r="M95" s="77">
        <f t="shared" si="63"/>
        <v>3.2153879839665107</v>
      </c>
      <c r="N95" s="77">
        <f t="shared" si="63"/>
        <v>6.3222870526361516</v>
      </c>
    </row>
    <row r="96" spans="1:14" x14ac:dyDescent="0.25">
      <c r="A96" s="75" t="s">
        <v>149</v>
      </c>
      <c r="B96" s="73" t="s">
        <v>117</v>
      </c>
      <c r="C96" s="77">
        <f t="shared" ref="C96:N96" si="64" xml:space="preserve"> 57255.69581*C80 - 44678.74747*C79 + 14023.41918*C78 - 2111.06396*C77 + 151.68701*C76 - 3.73</f>
        <v>0.46570837364019413</v>
      </c>
      <c r="D96" s="77">
        <f t="shared" si="64"/>
        <v>1.0299229126329768</v>
      </c>
      <c r="E96" s="77">
        <f t="shared" si="64"/>
        <v>1.1983002467022499</v>
      </c>
      <c r="F96" s="77">
        <f t="shared" si="64"/>
        <v>1.3985077968695454</v>
      </c>
      <c r="G96" s="77">
        <f t="shared" si="64"/>
        <v>1.6391080832179239</v>
      </c>
      <c r="H96" s="77">
        <f t="shared" si="64"/>
        <v>1.9321896196733346</v>
      </c>
      <c r="I96" s="77">
        <f t="shared" si="64"/>
        <v>2.294006487507215</v>
      </c>
      <c r="J96" s="77">
        <f t="shared" si="64"/>
        <v>2.745617908839773</v>
      </c>
      <c r="K96" s="76">
        <f t="shared" si="64"/>
        <v>3.3135278201425504</v>
      </c>
      <c r="L96" s="77">
        <f t="shared" si="64"/>
        <v>4.0303244457417584</v>
      </c>
      <c r="M96" s="77">
        <f t="shared" si="64"/>
        <v>4.9353198713205337</v>
      </c>
      <c r="N96" s="77">
        <f t="shared" si="64"/>
        <v>11.783905482145865</v>
      </c>
    </row>
    <row r="97" spans="1:14" x14ac:dyDescent="0.25">
      <c r="A97" s="75" t="s">
        <v>150</v>
      </c>
      <c r="B97" s="73" t="s">
        <v>118</v>
      </c>
      <c r="C97" s="77">
        <f t="shared" ref="C97:N97" si="65" xml:space="preserve"> 143089.62452*C80 - 117343.50532*C79 + 38649.35375*C78 - 6217.22547*C77 + 488.33352*C76 - 14.52</f>
        <v>0.56623739370087023</v>
      </c>
      <c r="D97" s="77">
        <f t="shared" si="65"/>
        <v>1.4418008397395248</v>
      </c>
      <c r="E97" s="77">
        <f t="shared" si="65"/>
        <v>1.7078371456877299</v>
      </c>
      <c r="F97" s="77">
        <f t="shared" si="65"/>
        <v>2.0249986945134388</v>
      </c>
      <c r="G97" s="77">
        <f t="shared" si="65"/>
        <v>2.4085341279500589</v>
      </c>
      <c r="H97" s="77">
        <f t="shared" si="65"/>
        <v>2.8812155267461854</v>
      </c>
      <c r="I97" s="77">
        <f t="shared" si="65"/>
        <v>3.4749367901988215</v>
      </c>
      <c r="J97" s="77">
        <f t="shared" si="65"/>
        <v>4.2323120156874516</v>
      </c>
      <c r="K97" s="76">
        <f t="shared" si="65"/>
        <v>5.2082738782085691</v>
      </c>
      <c r="L97" s="77">
        <f t="shared" si="65"/>
        <v>6.4716720099087688</v>
      </c>
      <c r="M97" s="77">
        <f t="shared" si="65"/>
        <v>8.1068713796197578</v>
      </c>
      <c r="N97" s="77">
        <f t="shared" si="65"/>
        <v>21.258135193944394</v>
      </c>
    </row>
    <row r="98" spans="1:14" x14ac:dyDescent="0.25">
      <c r="A98" s="75" t="s">
        <v>209</v>
      </c>
      <c r="B98" s="73" t="s">
        <v>214</v>
      </c>
      <c r="C98" s="77">
        <f xml:space="preserve"> 30265.1424899999*C80 - 26816.90085*C79 + 9821.16503*C78 - 1803.67859*C77 + 165.46921*C76 - 5.71</f>
        <v>0.33664770919116993</v>
      </c>
      <c r="D98" s="77">
        <f xml:space="preserve"> 30265.1424899999*D80 - 26816.90085*D79 + 9821.16503*D78 - 1803.67859*D77 + 165.46921*D76 - 5.71</f>
        <v>0.52925474185183052</v>
      </c>
      <c r="E98" s="77">
        <f t="shared" ref="E98:N98" si="66" xml:space="preserve"> 30265.1424899999*E80 - 26816.90085*E79 + 9821.16503*E78 - 1803.67859*E77 + 165.46921*E76 - 5.71</f>
        <v>0.58746902743175244</v>
      </c>
      <c r="F98" s="77">
        <f t="shared" si="66"/>
        <v>0.6603208948321333</v>
      </c>
      <c r="G98" s="77">
        <f t="shared" si="66"/>
        <v>0.75106238340823328</v>
      </c>
      <c r="H98" s="77">
        <f t="shared" si="66"/>
        <v>0.86408415895988444</v>
      </c>
      <c r="I98" s="77">
        <f t="shared" si="66"/>
        <v>1.0052535898464976</v>
      </c>
      <c r="J98" s="77">
        <f t="shared" si="66"/>
        <v>1.1822528231018632</v>
      </c>
      <c r="K98" s="76">
        <f t="shared" si="66"/>
        <v>1.4049168605493927</v>
      </c>
      <c r="L98" s="77">
        <f t="shared" si="66"/>
        <v>1.6855716349168484</v>
      </c>
      <c r="M98" s="77">
        <f t="shared" si="66"/>
        <v>2.039372085951336</v>
      </c>
      <c r="N98" s="77">
        <f t="shared" si="66"/>
        <v>4.7207755952452795</v>
      </c>
    </row>
    <row r="99" spans="1:14" x14ac:dyDescent="0.25">
      <c r="A99" s="75" t="s">
        <v>151</v>
      </c>
      <c r="B99" s="73" t="s">
        <v>119</v>
      </c>
      <c r="C99" s="77">
        <f t="shared" ref="C99:N99" si="67" xml:space="preserve"> 54477.25649*C80 - 47053.5012*C79 + 16421.96104*C78 - 2825.53995*C77 + 239.64014*C76 - 7.66</f>
        <v>0.38474465697996862</v>
      </c>
      <c r="D99" s="77">
        <f t="shared" si="67"/>
        <v>0.68231803329862473</v>
      </c>
      <c r="E99" s="77">
        <f t="shared" si="67"/>
        <v>0.77491807723169259</v>
      </c>
      <c r="F99" s="77">
        <f t="shared" si="67"/>
        <v>0.88591877081845993</v>
      </c>
      <c r="G99" s="77">
        <f t="shared" si="67"/>
        <v>1.0197029675710674</v>
      </c>
      <c r="H99" s="77">
        <f t="shared" si="67"/>
        <v>1.182978843232835</v>
      </c>
      <c r="I99" s="77">
        <f t="shared" si="67"/>
        <v>1.3853884327852803</v>
      </c>
      <c r="J99" s="77">
        <f t="shared" si="67"/>
        <v>1.6401161674550373</v>
      </c>
      <c r="K99" s="76">
        <f t="shared" si="67"/>
        <v>1.9644974117212222</v>
      </c>
      <c r="L99" s="77">
        <f t="shared" si="67"/>
        <v>2.3806270003220185</v>
      </c>
      <c r="M99" s="77">
        <f t="shared" si="67"/>
        <v>2.9159677752619153</v>
      </c>
      <c r="N99" s="77">
        <f t="shared" si="67"/>
        <v>7.2079923798344474</v>
      </c>
    </row>
    <row r="100" spans="1:14" x14ac:dyDescent="0.25">
      <c r="A100" s="75" t="s">
        <v>152</v>
      </c>
      <c r="B100" s="73" t="s">
        <v>120</v>
      </c>
      <c r="C100" s="77">
        <f t="shared" ref="C100:N100" si="68" xml:space="preserve"> 76208.6211*C80 - 64528.35091*C79 + 21766.90698*C78 - 3544.03862*C77 + 277.89526*C76 - 8.01</f>
        <v>0.43220584929792061</v>
      </c>
      <c r="D100" s="77">
        <f t="shared" si="68"/>
        <v>0.93585196071352605</v>
      </c>
      <c r="E100" s="77">
        <f t="shared" si="68"/>
        <v>1.0936884217317111</v>
      </c>
      <c r="F100" s="77">
        <f t="shared" si="68"/>
        <v>1.276443596615648</v>
      </c>
      <c r="G100" s="77">
        <f t="shared" si="68"/>
        <v>1.4894361180752593</v>
      </c>
      <c r="H100" s="77">
        <f t="shared" si="68"/>
        <v>1.7415310472840826</v>
      </c>
      <c r="I100" s="77">
        <f t="shared" si="68"/>
        <v>2.0459911606213605</v>
      </c>
      <c r="J100" s="77">
        <f t="shared" si="68"/>
        <v>2.421328236414146</v>
      </c>
      <c r="K100" s="76">
        <f t="shared" si="68"/>
        <v>2.8921543416790367</v>
      </c>
      <c r="L100" s="77">
        <f t="shared" si="68"/>
        <v>3.4900331188647069</v>
      </c>
      <c r="M100" s="77">
        <f t="shared" si="68"/>
        <v>4.2543310725936347</v>
      </c>
      <c r="N100" s="77">
        <f t="shared" si="68"/>
        <v>10.349835045970101</v>
      </c>
    </row>
    <row r="101" spans="1:14" x14ac:dyDescent="0.25">
      <c r="A101" s="75" t="s">
        <v>153</v>
      </c>
      <c r="B101" s="73" t="s">
        <v>121</v>
      </c>
      <c r="C101" s="77">
        <f t="shared" ref="C101:N101" si="69" xml:space="preserve"> 73827.1017*C80 - 60714.3115*C79 + 20349.36168*C78 - 3304.30929*C77 + 259.49856*C76 - 7.45</f>
        <v>0.51880531142144104</v>
      </c>
      <c r="D101" s="77">
        <f t="shared" si="69"/>
        <v>1.318414664898337</v>
      </c>
      <c r="E101" s="77">
        <f t="shared" si="69"/>
        <v>1.5693451623646082</v>
      </c>
      <c r="F101" s="77">
        <f t="shared" si="69"/>
        <v>1.8676082732699326</v>
      </c>
      <c r="G101" s="77">
        <f t="shared" si="69"/>
        <v>2.2226103808041655</v>
      </c>
      <c r="H101" s="77">
        <f t="shared" si="69"/>
        <v>2.6476008504758637</v>
      </c>
      <c r="I101" s="77">
        <f t="shared" si="69"/>
        <v>3.1604967141437497</v>
      </c>
      <c r="J101" s="77">
        <f t="shared" si="69"/>
        <v>3.7847073540479981</v>
      </c>
      <c r="K101" s="76">
        <f t="shared" si="69"/>
        <v>4.5499591868419058</v>
      </c>
      <c r="L101" s="77">
        <f t="shared" si="69"/>
        <v>5.4931203476233916</v>
      </c>
      <c r="M101" s="77">
        <f t="shared" si="69"/>
        <v>6.6590253739661618</v>
      </c>
      <c r="N101" s="77">
        <f t="shared" si="69"/>
        <v>15.123098854973495</v>
      </c>
    </row>
    <row r="102" spans="1:14" x14ac:dyDescent="0.25">
      <c r="A102" s="75" t="s">
        <v>215</v>
      </c>
      <c r="B102" s="73" t="s">
        <v>219</v>
      </c>
      <c r="C102" s="160">
        <f xml:space="preserve"> 40733.9049*C80 - 36751.17452*C79 + 13395.20097*C78 - 2415.4317*C77 + 215.01129*C76 - 7.26</f>
        <v>0.29891195010047689</v>
      </c>
      <c r="D102" s="160">
        <f t="shared" ref="D102:N102" si="70" xml:space="preserve"> 40733.9049*D80 - 36751.17452*D79 + 13395.20097*D78 - 2415.4317*D77 + 215.01129*D76 - 7.26</f>
        <v>0.46785745060019757</v>
      </c>
      <c r="E102" s="160">
        <f t="shared" si="70"/>
        <v>0.52297556380609755</v>
      </c>
      <c r="F102" s="160">
        <f t="shared" si="70"/>
        <v>0.58995001522538892</v>
      </c>
      <c r="G102" s="160">
        <f t="shared" si="70"/>
        <v>0.67106460950679114</v>
      </c>
      <c r="H102" s="160">
        <f t="shared" si="70"/>
        <v>0.7699864460460244</v>
      </c>
      <c r="I102" s="160">
        <f t="shared" si="70"/>
        <v>0.89222093618334775</v>
      </c>
      <c r="J102" s="160">
        <f t="shared" si="70"/>
        <v>1.0455668204006425</v>
      </c>
      <c r="K102" s="547">
        <f t="shared" si="70"/>
        <v>1.2405711855194763</v>
      </c>
      <c r="L102" s="160">
        <f t="shared" si="70"/>
        <v>1.4909844818978595</v>
      </c>
      <c r="M102" s="160">
        <f t="shared" si="70"/>
        <v>1.814215540628096</v>
      </c>
      <c r="N102" s="160">
        <f t="shared" si="70"/>
        <v>4.4536605762765102</v>
      </c>
    </row>
    <row r="103" spans="1:14" x14ac:dyDescent="0.25">
      <c r="A103" s="75" t="s">
        <v>216</v>
      </c>
      <c r="B103" s="73" t="s">
        <v>141</v>
      </c>
      <c r="C103" s="77">
        <f t="shared" ref="C103:N103" si="71" xml:space="preserve"> 58644.91546*C80 - 51277.08978*C79+ 18140.63323*C78 - 3175.6924*C77 + 274.28544*C76 - 9.02</f>
        <v>0.33775228503347066</v>
      </c>
      <c r="D103" s="77">
        <f t="shared" si="71"/>
        <v>0.57982553439259377</v>
      </c>
      <c r="E103" s="77">
        <f t="shared" si="71"/>
        <v>0.66261745932829896</v>
      </c>
      <c r="F103" s="77">
        <f t="shared" si="71"/>
        <v>0.76396733454280152</v>
      </c>
      <c r="G103" s="77">
        <f t="shared" si="71"/>
        <v>0.8883034430254817</v>
      </c>
      <c r="H103" s="77">
        <f t="shared" si="71"/>
        <v>1.0424158944459769</v>
      </c>
      <c r="I103" s="77">
        <f t="shared" si="71"/>
        <v>1.2361117169048121</v>
      </c>
      <c r="J103" s="77">
        <f t="shared" si="71"/>
        <v>1.4828699486840939</v>
      </c>
      <c r="K103" s="76">
        <f t="shared" si="71"/>
        <v>1.800496729998553</v>
      </c>
      <c r="L103" s="77">
        <f t="shared" si="71"/>
        <v>2.2117803947460821</v>
      </c>
      <c r="M103" s="77">
        <f t="shared" si="71"/>
        <v>2.7451465622584088</v>
      </c>
      <c r="N103" s="77">
        <f t="shared" si="71"/>
        <v>7.0931345839390723</v>
      </c>
    </row>
    <row r="104" spans="1:14" x14ac:dyDescent="0.25">
      <c r="A104" s="75" t="s">
        <v>217</v>
      </c>
      <c r="B104" s="73" t="s">
        <v>142</v>
      </c>
      <c r="C104" s="77">
        <f xml:space="preserve"> 29372.07272*C80 - 22669.98997*C79 + 6956.69784*C78 - 960.8162*C77 + 55.83313*C76 - 0.51</f>
        <v>0.40541822724710452</v>
      </c>
      <c r="D104" s="77">
        <f t="shared" ref="D104:N104" si="72" xml:space="preserve"> 29372.07272*D80 - 22669.98997*D79 + 6956.69784*D78 - 960.8162*D77 + 55.83313*D76 - 0.51</f>
        <v>0.86739098586357222</v>
      </c>
      <c r="E104" s="77">
        <f t="shared" si="72"/>
        <v>1.0134870417597239</v>
      </c>
      <c r="F104" s="77">
        <f t="shared" si="72"/>
        <v>1.1836422017395323</v>
      </c>
      <c r="G104" s="77">
        <f t="shared" si="72"/>
        <v>1.3820668238346501</v>
      </c>
      <c r="H104" s="77">
        <f t="shared" si="72"/>
        <v>1.6148367825970966</v>
      </c>
      <c r="I104" s="77">
        <f t="shared" si="72"/>
        <v>1.8902215691977202</v>
      </c>
      <c r="J104" s="77">
        <f t="shared" si="72"/>
        <v>2.2190123915247781</v>
      </c>
      <c r="K104" s="76">
        <f t="shared" si="72"/>
        <v>2.6148502742824782</v>
      </c>
      <c r="L104" s="77">
        <f t="shared" si="72"/>
        <v>3.0945541590896077</v>
      </c>
      <c r="M104" s="77">
        <f t="shared" si="72"/>
        <v>3.6784490045778568</v>
      </c>
      <c r="N104" s="77">
        <f t="shared" si="72"/>
        <v>7.7703451915223756</v>
      </c>
    </row>
    <row r="105" spans="1:14" x14ac:dyDescent="0.25">
      <c r="A105" s="75" t="s">
        <v>218</v>
      </c>
      <c r="B105" s="73" t="s">
        <v>143</v>
      </c>
      <c r="C105" s="77">
        <f xml:space="preserve"> 4564.57887*C80 - 4085.11767*C79 + 2049.36962*C78 - 391.39311*C77 + 30.6636*C76 - 0.38</f>
        <v>0.47137324824678373</v>
      </c>
      <c r="D105" s="77">
        <f t="shared" ref="D105:N105" si="73" xml:space="preserve"> 4564.57887*D80 - 4085.11767*D79 + 2049.36962*D78 - 391.39311*D77 + 30.6636*D76 - 0.38</f>
        <v>1.1950285701087973</v>
      </c>
      <c r="E105" s="77">
        <f t="shared" si="73"/>
        <v>1.4308532726442778</v>
      </c>
      <c r="F105" s="77">
        <f t="shared" si="73"/>
        <v>1.7102179606620762</v>
      </c>
      <c r="G105" s="77">
        <f t="shared" si="73"/>
        <v>2.0366867588887176</v>
      </c>
      <c r="H105" s="77">
        <f t="shared" si="73"/>
        <v>2.413986317673225</v>
      </c>
      <c r="I105" s="77">
        <f t="shared" si="73"/>
        <v>2.8460568015160108</v>
      </c>
      <c r="J105" s="77">
        <f t="shared" si="73"/>
        <v>3.337102877597653</v>
      </c>
      <c r="K105" s="76">
        <f t="shared" si="73"/>
        <v>3.8916447043077875</v>
      </c>
      <c r="L105" s="77">
        <f t="shared" si="73"/>
        <v>4.5145689197739616</v>
      </c>
      <c r="M105" s="77">
        <f t="shared" si="73"/>
        <v>5.2111796303904336</v>
      </c>
      <c r="N105" s="77">
        <f t="shared" si="73"/>
        <v>8.9880629149859868</v>
      </c>
    </row>
    <row r="106" spans="1:14" x14ac:dyDescent="0.25">
      <c r="A106" s="22"/>
      <c r="B106" s="59" t="s">
        <v>220</v>
      </c>
      <c r="C106" s="42">
        <f t="shared" ref="C106:N106" si="74">($C12-0.75)*($C12-0.8)/0.005</f>
        <v>-0.11847961521168322</v>
      </c>
      <c r="D106" s="42">
        <f t="shared" si="74"/>
        <v>-0.11847961521168322</v>
      </c>
      <c r="E106" s="42">
        <f t="shared" si="74"/>
        <v>-0.11847961521168322</v>
      </c>
      <c r="F106" s="42">
        <f t="shared" si="74"/>
        <v>-0.11847961521168322</v>
      </c>
      <c r="G106" s="42">
        <f t="shared" si="74"/>
        <v>-0.11847961521168322</v>
      </c>
      <c r="H106" s="42">
        <f t="shared" si="74"/>
        <v>-0.11847961521168322</v>
      </c>
      <c r="I106" s="42">
        <f t="shared" si="74"/>
        <v>-0.11847961521168322</v>
      </c>
      <c r="J106" s="42">
        <f t="shared" si="74"/>
        <v>-0.11847961521168322</v>
      </c>
      <c r="K106" s="42">
        <f t="shared" si="74"/>
        <v>-0.11847961521168322</v>
      </c>
      <c r="L106" s="42">
        <f t="shared" si="74"/>
        <v>-0.11847961521168322</v>
      </c>
      <c r="M106" s="42">
        <f t="shared" si="74"/>
        <v>-0.11847961521168322</v>
      </c>
      <c r="N106" s="42">
        <f t="shared" si="74"/>
        <v>-0.11847961521168322</v>
      </c>
    </row>
    <row r="107" spans="1:14" x14ac:dyDescent="0.25">
      <c r="A107" s="22"/>
      <c r="B107" s="59" t="s">
        <v>144</v>
      </c>
      <c r="C107" s="42">
        <f t="shared" ref="C107:N107" si="75">($C12-0.7)*($C12-0.8)/0.0025</f>
        <v>-0.62276304144740369</v>
      </c>
      <c r="D107" s="42">
        <f t="shared" si="75"/>
        <v>-0.62276304144740369</v>
      </c>
      <c r="E107" s="42">
        <f t="shared" si="75"/>
        <v>-0.62276304144740369</v>
      </c>
      <c r="F107" s="42">
        <f t="shared" si="75"/>
        <v>-0.62276304144740369</v>
      </c>
      <c r="G107" s="42">
        <f t="shared" si="75"/>
        <v>-0.62276304144740369</v>
      </c>
      <c r="H107" s="42">
        <f t="shared" si="75"/>
        <v>-0.62276304144740369</v>
      </c>
      <c r="I107" s="42">
        <f t="shared" si="75"/>
        <v>-0.62276304144740369</v>
      </c>
      <c r="J107" s="42">
        <f t="shared" si="75"/>
        <v>-0.62276304144740369</v>
      </c>
      <c r="K107" s="42">
        <f t="shared" si="75"/>
        <v>-0.62276304144740369</v>
      </c>
      <c r="L107" s="42">
        <f t="shared" si="75"/>
        <v>-0.62276304144740369</v>
      </c>
      <c r="M107" s="42">
        <f t="shared" si="75"/>
        <v>-0.62276304144740369</v>
      </c>
      <c r="N107" s="42">
        <f t="shared" si="75"/>
        <v>-0.62276304144740369</v>
      </c>
    </row>
    <row r="108" spans="1:14" x14ac:dyDescent="0.25">
      <c r="A108" s="22"/>
      <c r="B108" s="59" t="s">
        <v>145</v>
      </c>
      <c r="C108" s="42">
        <f t="shared" ref="C108:N108" si="76">($C12-0.7)*($C12-0.75)/0.005</f>
        <v>0.49571657376428124</v>
      </c>
      <c r="D108" s="42">
        <f t="shared" si="76"/>
        <v>0.49571657376428124</v>
      </c>
      <c r="E108" s="42">
        <f t="shared" si="76"/>
        <v>0.49571657376428124</v>
      </c>
      <c r="F108" s="42">
        <f t="shared" si="76"/>
        <v>0.49571657376428124</v>
      </c>
      <c r="G108" s="42">
        <f t="shared" si="76"/>
        <v>0.49571657376428124</v>
      </c>
      <c r="H108" s="42">
        <f t="shared" si="76"/>
        <v>0.49571657376428124</v>
      </c>
      <c r="I108" s="42">
        <f t="shared" si="76"/>
        <v>0.49571657376428124</v>
      </c>
      <c r="J108" s="42">
        <f t="shared" si="76"/>
        <v>0.49571657376428124</v>
      </c>
      <c r="K108" s="42">
        <f t="shared" si="76"/>
        <v>0.49571657376428124</v>
      </c>
      <c r="L108" s="42">
        <f t="shared" si="76"/>
        <v>0.49571657376428124</v>
      </c>
      <c r="M108" s="42">
        <f t="shared" si="76"/>
        <v>0.49571657376428124</v>
      </c>
      <c r="N108" s="42">
        <f t="shared" si="76"/>
        <v>0.49571657376428124</v>
      </c>
    </row>
    <row r="109" spans="1:14" x14ac:dyDescent="0.25">
      <c r="A109" s="22"/>
      <c r="B109" s="59" t="s">
        <v>146</v>
      </c>
      <c r="C109" s="42">
        <f t="shared" ref="C109:N109" si="77">($C12-0.8)*($C12-0.85)/0.005</f>
        <v>0.26732419581235362</v>
      </c>
      <c r="D109" s="42">
        <f t="shared" si="77"/>
        <v>0.26732419581235362</v>
      </c>
      <c r="E109" s="42">
        <f t="shared" si="77"/>
        <v>0.26732419581235362</v>
      </c>
      <c r="F109" s="42">
        <f t="shared" si="77"/>
        <v>0.26732419581235362</v>
      </c>
      <c r="G109" s="42">
        <f t="shared" si="77"/>
        <v>0.26732419581235362</v>
      </c>
      <c r="H109" s="42">
        <f t="shared" si="77"/>
        <v>0.26732419581235362</v>
      </c>
      <c r="I109" s="42">
        <f t="shared" si="77"/>
        <v>0.26732419581235362</v>
      </c>
      <c r="J109" s="42">
        <f t="shared" si="77"/>
        <v>0.26732419581235362</v>
      </c>
      <c r="K109" s="42">
        <f t="shared" si="77"/>
        <v>0.26732419581235362</v>
      </c>
      <c r="L109" s="42">
        <f t="shared" si="77"/>
        <v>0.26732419581235362</v>
      </c>
      <c r="M109" s="42">
        <f t="shared" si="77"/>
        <v>0.26732419581235362</v>
      </c>
      <c r="N109" s="42">
        <f t="shared" si="77"/>
        <v>0.26732419581235362</v>
      </c>
    </row>
    <row r="110" spans="1:14" x14ac:dyDescent="0.25">
      <c r="A110" s="22"/>
      <c r="B110" s="59" t="s">
        <v>147</v>
      </c>
      <c r="C110" s="42">
        <f t="shared" ref="C110:N110" si="78">($C12-0.75)*($C12-0.85)/0.0025</f>
        <v>-0.85115541939932959</v>
      </c>
      <c r="D110" s="42">
        <f t="shared" si="78"/>
        <v>-0.85115541939932959</v>
      </c>
      <c r="E110" s="42">
        <f t="shared" si="78"/>
        <v>-0.85115541939932959</v>
      </c>
      <c r="F110" s="42">
        <f t="shared" si="78"/>
        <v>-0.85115541939932959</v>
      </c>
      <c r="G110" s="42">
        <f t="shared" si="78"/>
        <v>-0.85115541939932959</v>
      </c>
      <c r="H110" s="42">
        <f t="shared" si="78"/>
        <v>-0.85115541939932959</v>
      </c>
      <c r="I110" s="42">
        <f t="shared" si="78"/>
        <v>-0.85115541939932959</v>
      </c>
      <c r="J110" s="42">
        <f t="shared" si="78"/>
        <v>-0.85115541939932959</v>
      </c>
      <c r="K110" s="42">
        <f t="shared" si="78"/>
        <v>-0.85115541939932959</v>
      </c>
      <c r="L110" s="42">
        <f t="shared" si="78"/>
        <v>-0.85115541939932959</v>
      </c>
      <c r="M110" s="42">
        <f t="shared" si="78"/>
        <v>-0.85115541939932959</v>
      </c>
      <c r="N110" s="42">
        <f t="shared" si="78"/>
        <v>-0.85115541939932959</v>
      </c>
    </row>
    <row r="111" spans="1:14" x14ac:dyDescent="0.25">
      <c r="A111" s="82" t="s">
        <v>127</v>
      </c>
      <c r="B111" s="83" t="s">
        <v>221</v>
      </c>
      <c r="C111" s="84">
        <f t="shared" ref="C111:N111" si="79">IF($C12&lt;0.775,C106*C82-C107*C83+C108*C84,C109*C83-C110*C84+C106*C85)</f>
        <v>0.69117428875036369</v>
      </c>
      <c r="D111" s="84">
        <f t="shared" si="79"/>
        <v>1.3118907522977303</v>
      </c>
      <c r="E111" s="84">
        <f t="shared" si="79"/>
        <v>1.4763948033047201</v>
      </c>
      <c r="F111" s="84">
        <f t="shared" si="79"/>
        <v>1.6844252756638889</v>
      </c>
      <c r="G111" s="84">
        <f t="shared" si="79"/>
        <v>1.9659135493730895</v>
      </c>
      <c r="H111" s="84">
        <f t="shared" si="79"/>
        <v>2.3653943767730454</v>
      </c>
      <c r="I111" s="84">
        <f t="shared" si="79"/>
        <v>2.9446811991637514</v>
      </c>
      <c r="J111" s="84">
        <f t="shared" si="79"/>
        <v>3.7855414634221991</v>
      </c>
      <c r="K111" s="548">
        <f t="shared" si="79"/>
        <v>4.9923719386194634</v>
      </c>
      <c r="L111" s="84">
        <f t="shared" si="79"/>
        <v>6.694874032638122</v>
      </c>
      <c r="M111" s="84">
        <f t="shared" si="79"/>
        <v>9.0507291087890618</v>
      </c>
      <c r="N111" s="84">
        <f t="shared" si="79"/>
        <v>30.251601381052637</v>
      </c>
    </row>
    <row r="112" spans="1:14" x14ac:dyDescent="0.25">
      <c r="A112" s="82" t="s">
        <v>128</v>
      </c>
      <c r="B112" s="83" t="s">
        <v>223</v>
      </c>
      <c r="C112" s="84">
        <f t="shared" ref="C112:N112" si="80">IF($C12&lt;0.775,C106*C86-C107*C87+C108*C88,C109*C87-C110*C88+C106*C89)</f>
        <v>0.6044605386203552</v>
      </c>
      <c r="D112" s="84">
        <f t="shared" si="80"/>
        <v>1.1639370613080959</v>
      </c>
      <c r="E112" s="84">
        <f t="shared" si="80"/>
        <v>1.3237009148807655</v>
      </c>
      <c r="F112" s="84">
        <f t="shared" si="80"/>
        <v>1.516346846682161</v>
      </c>
      <c r="G112" s="84">
        <f t="shared" si="80"/>
        <v>1.7591535536626068</v>
      </c>
      <c r="H112" s="84">
        <f t="shared" si="80"/>
        <v>2.0819600811151395</v>
      </c>
      <c r="I112" s="84">
        <f t="shared" si="80"/>
        <v>2.532072189648912</v>
      </c>
      <c r="J112" s="84">
        <f t="shared" si="80"/>
        <v>3.1799499629002925</v>
      </c>
      <c r="K112" s="548">
        <f t="shared" si="80"/>
        <v>4.1256766559727884</v>
      </c>
      <c r="L112" s="84">
        <f t="shared" si="80"/>
        <v>5.5062087846023102</v>
      </c>
      <c r="M112" s="84">
        <f t="shared" si="80"/>
        <v>7.5034074550584915</v>
      </c>
      <c r="N112" s="84">
        <f t="shared" si="80"/>
        <v>28.413099253800333</v>
      </c>
    </row>
    <row r="113" spans="1:14" x14ac:dyDescent="0.25">
      <c r="A113" s="82" t="s">
        <v>129</v>
      </c>
      <c r="B113" s="83" t="s">
        <v>222</v>
      </c>
      <c r="C113" s="84">
        <f t="shared" ref="C113:N113" si="81">IF($C12&lt;0.775,C106*C90-C107*C91+C108*C92,C109*C91-C110*C92+C106*C93)</f>
        <v>0.52047880789794132</v>
      </c>
      <c r="D113" s="84">
        <f t="shared" si="81"/>
        <v>1.0134317070294863</v>
      </c>
      <c r="E113" s="84">
        <f t="shared" si="81"/>
        <v>1.1570307233958559</v>
      </c>
      <c r="F113" s="84">
        <f t="shared" si="81"/>
        <v>1.3278568298384179</v>
      </c>
      <c r="G113" s="84">
        <f t="shared" si="81"/>
        <v>1.535728105963263</v>
      </c>
      <c r="H113" s="84">
        <f t="shared" si="81"/>
        <v>1.7973278935177661</v>
      </c>
      <c r="I113" s="84">
        <f t="shared" si="81"/>
        <v>2.1390678337888982</v>
      </c>
      <c r="J113" s="84">
        <f t="shared" si="81"/>
        <v>2.6004467118079386</v>
      </c>
      <c r="K113" s="548">
        <f t="shared" si="81"/>
        <v>3.2379051073598468</v>
      </c>
      <c r="L113" s="84">
        <f t="shared" si="81"/>
        <v>4.1291758527992348</v>
      </c>
      <c r="M113" s="84">
        <f t="shared" si="81"/>
        <v>5.3781302976702161</v>
      </c>
      <c r="N113" s="84">
        <f t="shared" si="81"/>
        <v>17.863567247851478</v>
      </c>
    </row>
    <row r="114" spans="1:14" x14ac:dyDescent="0.25">
      <c r="A114" s="82" t="s">
        <v>154</v>
      </c>
      <c r="B114" s="83" t="s">
        <v>225</v>
      </c>
      <c r="C114" s="84">
        <f t="shared" ref="C114:N114" si="82">IF($C12&lt;0.775,C106*C94-C107*C95+C108*C96,C109*C95-C110*C96+C106*C97)</f>
        <v>0.44798326461032739</v>
      </c>
      <c r="D114" s="84">
        <f t="shared" si="82"/>
        <v>0.91566159069561459</v>
      </c>
      <c r="E114" s="84">
        <f t="shared" si="82"/>
        <v>1.0553858720098617</v>
      </c>
      <c r="F114" s="84">
        <f t="shared" si="82"/>
        <v>1.2227270710324967</v>
      </c>
      <c r="G114" s="84">
        <f t="shared" si="82"/>
        <v>1.4248430101021854</v>
      </c>
      <c r="H114" s="84">
        <f t="shared" si="82"/>
        <v>1.6712042327035435</v>
      </c>
      <c r="I114" s="84">
        <f t="shared" si="82"/>
        <v>1.9739092983836251</v>
      </c>
      <c r="J114" s="84">
        <f t="shared" si="82"/>
        <v>2.3480000776688223</v>
      </c>
      <c r="K114" s="548">
        <f t="shared" si="82"/>
        <v>2.8117770469811125</v>
      </c>
      <c r="L114" s="84">
        <f t="shared" si="82"/>
        <v>3.387114583555161</v>
      </c>
      <c r="M114" s="84">
        <f t="shared" si="82"/>
        <v>4.09977626035427</v>
      </c>
      <c r="N114" s="84">
        <f t="shared" si="82"/>
        <v>9.2013796369622654</v>
      </c>
    </row>
    <row r="115" spans="1:14" x14ac:dyDescent="0.25">
      <c r="A115" s="82" t="s">
        <v>155</v>
      </c>
      <c r="B115" s="83" t="s">
        <v>226</v>
      </c>
      <c r="C115" s="84">
        <f t="shared" ref="C115:N115" si="83">IF($C12&lt;0.775,C106*C98-C107*C99+C108*C100,C109*C99-C110*C100+C106*C101)</f>
        <v>0.40925805327929521</v>
      </c>
      <c r="D115" s="84">
        <f t="shared" si="83"/>
        <v>0.82275032547003257</v>
      </c>
      <c r="E115" s="84">
        <f t="shared" si="83"/>
        <v>0.9521177681363876</v>
      </c>
      <c r="F115" s="84">
        <f t="shared" si="83"/>
        <v>1.1020058981979166</v>
      </c>
      <c r="G115" s="84">
        <f t="shared" si="83"/>
        <v>1.2769988768390927</v>
      </c>
      <c r="H115" s="84">
        <f t="shared" si="83"/>
        <v>1.4848657268797774</v>
      </c>
      <c r="I115" s="84">
        <f t="shared" si="83"/>
        <v>1.7373498785185169</v>
      </c>
      <c r="J115" s="84">
        <f t="shared" si="83"/>
        <v>2.0509587150758444</v>
      </c>
      <c r="K115" s="548">
        <f t="shared" si="83"/>
        <v>2.4477531187373462</v>
      </c>
      <c r="L115" s="84">
        <f t="shared" si="83"/>
        <v>2.956137016297212</v>
      </c>
      <c r="M115" s="84">
        <f t="shared" si="83"/>
        <v>3.6116469249013186</v>
      </c>
      <c r="N115" s="84">
        <f t="shared" si="83"/>
        <v>8.9444100224818701</v>
      </c>
    </row>
    <row r="116" spans="1:14" x14ac:dyDescent="0.25">
      <c r="A116" s="82" t="s">
        <v>224</v>
      </c>
      <c r="B116" s="83" t="s">
        <v>227</v>
      </c>
      <c r="C116" s="84">
        <f t="shared" ref="C116:N116" si="84">IF($C12&lt;0.775,C106*C102-C107*C103+C108*C104,C109*C103-C110*C104+C106*C105)</f>
        <v>0.37951515815163916</v>
      </c>
      <c r="D116" s="84">
        <f t="shared" si="84"/>
        <v>0.75169940789541689</v>
      </c>
      <c r="E116" s="84">
        <f t="shared" si="84"/>
        <v>0.87024172236367447</v>
      </c>
      <c r="F116" s="84">
        <f t="shared" si="84"/>
        <v>1.0090644620665667</v>
      </c>
      <c r="G116" s="84">
        <f t="shared" si="84"/>
        <v>1.1725128071231472</v>
      </c>
      <c r="H116" s="84">
        <f t="shared" si="84"/>
        <v>1.36713189959349</v>
      </c>
      <c r="I116" s="84">
        <f t="shared" si="84"/>
        <v>1.6021151884297402</v>
      </c>
      <c r="J116" s="84">
        <f t="shared" si="84"/>
        <v>1.8897527744272928</v>
      </c>
      <c r="K116" s="548">
        <f t="shared" si="84"/>
        <v>2.245879755176019</v>
      </c>
      <c r="L116" s="84">
        <f t="shared" si="84"/>
        <v>2.6903245700114375</v>
      </c>
      <c r="M116" s="84">
        <f t="shared" si="84"/>
        <v>3.2473573449656685</v>
      </c>
      <c r="N116" s="84">
        <f t="shared" si="84"/>
        <v>7.4450356831421587</v>
      </c>
    </row>
    <row r="117" spans="1:14" x14ac:dyDescent="0.25">
      <c r="A117" s="75" t="s">
        <v>131</v>
      </c>
      <c r="B117" s="73" t="s">
        <v>122</v>
      </c>
      <c r="C117" s="74">
        <f t="shared" ref="C117:N117" si="85">IF($C13&gt;5.25,IF($C13&lt;5.75,C112*($C13-5.5)*($C13-6)/0.5-C113*($C13-5)*($C13-6)/0.25+C114*($C13-5)*($C13-5.5)/0.5,IF($C13&lt;6.25,C113*($C13-6)*($C13-6.5)/0.5-C114*($C13-5.5)*($C13-6.5)/0.25+C115*($C13-5.5)*($C13-6)/0.5,C114*($C13-6.5)*($C13-7)/0.5-C115*($C13-6)*($C13-7)/0.25+C116*($C13-6)*($C13-6.5)/0.5)),C111*($C13-5)*($C13-5.5)/0.5-C112*($C13-4.5)*($C13-5.5)/0.25+C113*($C13-4.5)*($C13-5)/0.5)</f>
        <v>0.61270998221958206</v>
      </c>
      <c r="D117" s="74">
        <f t="shared" si="85"/>
        <v>1.1783269884125915</v>
      </c>
      <c r="E117" s="74">
        <f t="shared" si="85"/>
        <v>1.3390463880952377</v>
      </c>
      <c r="F117" s="74">
        <f t="shared" si="85"/>
        <v>1.5334576069482322</v>
      </c>
      <c r="G117" s="74">
        <f t="shared" si="85"/>
        <v>1.7798340657076743</v>
      </c>
      <c r="H117" s="74">
        <f t="shared" si="85"/>
        <v>2.1093659201694321</v>
      </c>
      <c r="I117" s="74">
        <f t="shared" si="85"/>
        <v>2.5710374646483145</v>
      </c>
      <c r="J117" s="74">
        <f t="shared" si="85"/>
        <v>3.2372568841965821</v>
      </c>
      <c r="K117" s="546">
        <f t="shared" si="85"/>
        <v>4.210238355572999</v>
      </c>
      <c r="L117" s="74">
        <f t="shared" si="85"/>
        <v>5.6291364969589255</v>
      </c>
      <c r="M117" s="74">
        <f t="shared" si="85"/>
        <v>7.6779331664321404</v>
      </c>
      <c r="N117" s="74">
        <f t="shared" si="85"/>
        <v>28.970303903917344</v>
      </c>
    </row>
    <row r="118" spans="1:14" x14ac:dyDescent="0.25">
      <c r="A118" s="22"/>
      <c r="B118" s="59" t="s">
        <v>123</v>
      </c>
      <c r="C118" s="42">
        <f t="shared" ref="C118:N118" si="86">C22</f>
        <v>0.12</v>
      </c>
      <c r="D118" s="42">
        <f t="shared" si="86"/>
        <v>0.19069812061401845</v>
      </c>
      <c r="E118" s="42">
        <f t="shared" si="86"/>
        <v>0.200555877516121</v>
      </c>
      <c r="F118" s="42">
        <f t="shared" si="86"/>
        <v>0.21041363441822353</v>
      </c>
      <c r="G118" s="42">
        <f t="shared" si="86"/>
        <v>0.22027139132032608</v>
      </c>
      <c r="H118" s="42">
        <f t="shared" si="86"/>
        <v>0.23012914822242861</v>
      </c>
      <c r="I118" s="42">
        <f t="shared" si="86"/>
        <v>0.23998690512453114</v>
      </c>
      <c r="J118" s="42">
        <f t="shared" si="86"/>
        <v>0.24984466202663369</v>
      </c>
      <c r="K118" s="42">
        <f t="shared" si="86"/>
        <v>0.25970241892873619</v>
      </c>
      <c r="L118" s="42">
        <f t="shared" si="86"/>
        <v>0.26956017583083874</v>
      </c>
      <c r="M118" s="42">
        <f t="shared" si="86"/>
        <v>0.27941793273294124</v>
      </c>
      <c r="N118" s="42">
        <f t="shared" si="86"/>
        <v>0.32</v>
      </c>
    </row>
    <row r="119" spans="1:14" x14ac:dyDescent="0.25">
      <c r="A119" s="22"/>
      <c r="B119" s="59" t="s">
        <v>165</v>
      </c>
      <c r="C119" s="42">
        <f t="shared" ref="C119:N119" si="87">C55+C57+C59+C63</f>
        <v>0.6790311166352081</v>
      </c>
      <c r="D119" s="42">
        <f t="shared" si="87"/>
        <v>1.2221192546363198</v>
      </c>
      <c r="E119" s="42">
        <f t="shared" si="87"/>
        <v>1.3847224516134147</v>
      </c>
      <c r="F119" s="42">
        <f t="shared" si="87"/>
        <v>1.5885409725801958</v>
      </c>
      <c r="G119" s="42">
        <f t="shared" si="87"/>
        <v>1.8470851474811041</v>
      </c>
      <c r="H119" s="42">
        <f t="shared" si="87"/>
        <v>2.1800794592140011</v>
      </c>
      <c r="I119" s="42">
        <f t="shared" si="87"/>
        <v>2.6170151057364852</v>
      </c>
      <c r="J119" s="42">
        <f t="shared" si="87"/>
        <v>3.2026396711367138</v>
      </c>
      <c r="K119" s="42">
        <f t="shared" si="87"/>
        <v>4.0044603973583008</v>
      </c>
      <c r="L119" s="42">
        <f t="shared" si="87"/>
        <v>5.1191559063763759</v>
      </c>
      <c r="M119" s="42">
        <f t="shared" si="87"/>
        <v>6.663033680071532</v>
      </c>
      <c r="N119" s="42">
        <f t="shared" si="87"/>
        <v>13.740236241488606</v>
      </c>
    </row>
    <row r="120" spans="1:14" x14ac:dyDescent="0.25">
      <c r="A120" s="22"/>
      <c r="B120" s="59" t="s">
        <v>166</v>
      </c>
      <c r="C120" s="42">
        <f t="shared" ref="C120:N120" si="88">C119-C117</f>
        <v>6.6321134415626037E-2</v>
      </c>
      <c r="D120" s="42">
        <f t="shared" si="88"/>
        <v>4.3792266223728227E-2</v>
      </c>
      <c r="E120" s="42">
        <f t="shared" si="88"/>
        <v>4.567606351817699E-2</v>
      </c>
      <c r="F120" s="42">
        <f t="shared" si="88"/>
        <v>5.5083365631963588E-2</v>
      </c>
      <c r="G120" s="42">
        <f t="shared" si="88"/>
        <v>6.7251081773429755E-2</v>
      </c>
      <c r="H120" s="42">
        <f t="shared" si="88"/>
        <v>7.0713539044569007E-2</v>
      </c>
      <c r="I120" s="42">
        <f t="shared" si="88"/>
        <v>4.5977641088170706E-2</v>
      </c>
      <c r="J120" s="42">
        <f t="shared" si="88"/>
        <v>-3.4617213059868313E-2</v>
      </c>
      <c r="K120" s="42">
        <f t="shared" si="88"/>
        <v>-0.20577795821469813</v>
      </c>
      <c r="L120" s="42">
        <f t="shared" si="88"/>
        <v>-0.50998059058254963</v>
      </c>
      <c r="M120" s="42">
        <f t="shared" si="88"/>
        <v>-1.0148994863606084</v>
      </c>
      <c r="N120" s="42">
        <f t="shared" si="88"/>
        <v>-15.230067662428738</v>
      </c>
    </row>
  </sheetData>
  <phoneticPr fontId="2" type="noConversion"/>
  <dataValidations count="1">
    <dataValidation type="whole" allowBlank="1" showInputMessage="1" showErrorMessage="1" error="Value to be either 1 or 2" sqref="K14">
      <formula1>1</formula1>
      <formula2>3</formula2>
    </dataValidation>
  </dataValidations>
  <pageMargins left="0.75" right="0.75" top="1" bottom="1" header="0" footer="0"/>
  <pageSetup paperSize="9" orientation="landscape" r:id="rId1"/>
  <headerFooter alignWithMargins="0"/>
  <cellWatches>
    <cellWatch r="N26"/>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Navngivne områder</vt:lpstr>
      </vt:variant>
      <vt:variant>
        <vt:i4>1</vt:i4>
      </vt:variant>
    </vt:vector>
  </HeadingPairs>
  <TitlesOfParts>
    <vt:vector size="18" baseType="lpstr">
      <vt:lpstr>LICENSE AGREEMENT</vt:lpstr>
      <vt:lpstr>Low load SFOC</vt:lpstr>
      <vt:lpstr>Normal SFOC</vt:lpstr>
      <vt:lpstr>Added resistance in waves</vt:lpstr>
      <vt:lpstr>Ship data</vt:lpstr>
      <vt:lpstr>Emissions in harbor</vt:lpstr>
      <vt:lpstr>Emissions at sea</vt:lpstr>
      <vt:lpstr>Emission factors</vt:lpstr>
      <vt:lpstr>PS1</vt:lpstr>
      <vt:lpstr>PT1</vt:lpstr>
      <vt:lpstr>PAS1</vt:lpstr>
      <vt:lpstr>PS2</vt:lpstr>
      <vt:lpstr>PT2</vt:lpstr>
      <vt:lpstr>PAS2</vt:lpstr>
      <vt:lpstr>PS3</vt:lpstr>
      <vt:lpstr>PT3</vt:lpstr>
      <vt:lpstr>PAS3</vt:lpstr>
      <vt:lpstr>'Ship data'!OLE_LINK4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Otto Kristensen</dc:creator>
  <cp:lastModifiedBy>hokmarine@mail.dk</cp:lastModifiedBy>
  <cp:lastPrinted>2020-04-11T08:33:29Z</cp:lastPrinted>
  <dcterms:created xsi:type="dcterms:W3CDTF">2008-09-19T11:03:53Z</dcterms:created>
  <dcterms:modified xsi:type="dcterms:W3CDTF">2024-11-25T14:36:51Z</dcterms:modified>
</cp:coreProperties>
</file>